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480" windowHeight="8925" tabRatio="808" activeTab="0"/>
  </bookViews>
  <sheets>
    <sheet name="VSD" sheetId="1" r:id="rId1"/>
    <sheet name="Constant Speed" sheetId="2" r:id="rId2"/>
  </sheets>
  <definedNames>
    <definedName name="_xlnm.Print_Area" localSheetId="1">'Constant Speed'!$A$1:$AG$63</definedName>
    <definedName name="_xlnm.Print_Area" localSheetId="0">'VSD'!$A$1:$AG$63</definedName>
  </definedNames>
  <calcPr fullCalcOnLoad="1"/>
</workbook>
</file>

<file path=xl/sharedStrings.xml><?xml version="1.0" encoding="utf-8"?>
<sst xmlns="http://schemas.openxmlformats.org/spreadsheetml/2006/main" count="188" uniqueCount="73">
  <si>
    <t>CHWS (F)</t>
  </si>
  <si>
    <t>Full Load Ratio</t>
  </si>
  <si>
    <t>Cells without a fill color are data requested from the manufacturer</t>
  </si>
  <si>
    <t>Calculated values</t>
  </si>
  <si>
    <t>Points to be used for obtaining requested data</t>
  </si>
  <si>
    <t>Color Code:</t>
  </si>
  <si>
    <t>*Note to Chiller Manufacturer's Rep., Please allow program to size</t>
  </si>
  <si>
    <t>(don't input capacity and kW into your program)</t>
  </si>
  <si>
    <t>Condenser</t>
  </si>
  <si>
    <t>Evaporator</t>
  </si>
  <si>
    <t>Min Capacity:</t>
  </si>
  <si>
    <t>(tons) With Hot-Gas bypass</t>
  </si>
  <si>
    <t>(tons) Without Hot-Gas bypass</t>
  </si>
  <si>
    <t>Calculated values to be used for obtaining requested data</t>
  </si>
  <si>
    <t>(don't input kW into your program)</t>
  </si>
  <si>
    <t>Info From Manufacturer</t>
  </si>
  <si>
    <t>ECT (F)</t>
  </si>
  <si>
    <t>Flow (gpm)</t>
  </si>
  <si>
    <t>Head (ft)</t>
  </si>
  <si>
    <t>Max</t>
  </si>
  <si>
    <t>Min</t>
  </si>
  <si>
    <t>Reset Temp (F)</t>
  </si>
  <si>
    <t>Make &amp; Model:</t>
  </si>
  <si>
    <t>Part Load Ratio</t>
  </si>
  <si>
    <t>% Hourly Capacity (PLR)</t>
  </si>
  <si>
    <t>kW/ton</t>
  </si>
  <si>
    <t>Head pressure too low.</t>
  </si>
  <si>
    <t>Reference capacity, which can be selected based on either design capacity or ARI-rated capacity, but must be equal to the nominal capcity defined for the chiller</t>
  </si>
  <si>
    <t>Chiller capacity at specified temperature conditions</t>
  </si>
  <si>
    <t xml:space="preserve">   ..</t>
  </si>
  <si>
    <t>tons</t>
  </si>
  <si>
    <t>PLR = Current chiller load/Max capacity with equal CHWS &amp; ECT temperatures (Given to Manufacturer)</t>
  </si>
  <si>
    <t xml:space="preserve">   INPUT-TYPE       = DATA</t>
  </si>
  <si>
    <t xml:space="preserve">   TYPE             = BI-QUADRATIC-RATIO&amp;DT</t>
  </si>
  <si>
    <t xml:space="preserve">   TYPE             = BI-QUADRATIC-T</t>
  </si>
  <si>
    <t>EIRFPLR</t>
  </si>
  <si>
    <t>dT</t>
  </si>
  <si>
    <t>PLR</t>
  </si>
  <si>
    <t>EIRFT</t>
  </si>
  <si>
    <t>CAPFT</t>
  </si>
  <si>
    <t>Depend (Z)</t>
  </si>
  <si>
    <t>Indep-2 (Y)</t>
  </si>
  <si>
    <t>Indep-1 (X)</t>
  </si>
  <si>
    <t>EIR-fPLR&amp;dT</t>
  </si>
  <si>
    <t>EIR-fCHWT&amp;ECT</t>
  </si>
  <si>
    <t>CAP-fCHWT&amp;ECT</t>
  </si>
  <si>
    <t>eQuest INP File Input (Opt 2)</t>
  </si>
  <si>
    <t>eQuest Detailed Interface Input (Opt 1)</t>
  </si>
  <si>
    <t>MIN-RATIO:</t>
  </si>
  <si>
    <t>HGB-RATIO:</t>
  </si>
  <si>
    <t>Cap (Mbtu/h)</t>
  </si>
  <si>
    <t>gpm/ton</t>
  </si>
  <si>
    <t>DT:</t>
  </si>
  <si>
    <t>COP</t>
  </si>
  <si>
    <t>Constant Speed</t>
  </si>
  <si>
    <t>VSD Chiller</t>
  </si>
  <si>
    <t>Ref Points</t>
  </si>
  <si>
    <t>CapNom</t>
  </si>
  <si>
    <t>CapNom:</t>
  </si>
  <si>
    <t>CAPFT = ( CapOp / CapNom )</t>
  </si>
  <si>
    <t>CapOp:</t>
  </si>
  <si>
    <t>EIRnom:</t>
  </si>
  <si>
    <t>EIRFT = EIRop / EIRnom</t>
  </si>
  <si>
    <t>EIRfPLR = PwrPLR / PwrOp</t>
  </si>
  <si>
    <t>Pwr ratio should be relative to Pwr at PLR=1 for this dT!</t>
  </si>
  <si>
    <t>CapOp (tons)*</t>
  </si>
  <si>
    <t>Qchiller (tons)</t>
  </si>
  <si>
    <t>EIRop</t>
  </si>
  <si>
    <t>PwrPLR (kW)</t>
  </si>
  <si>
    <t>PwrOp</t>
  </si>
  <si>
    <t>EIRnom</t>
  </si>
  <si>
    <t>(For Ref)</t>
  </si>
  <si>
    <t>Q/(Qref*CAPFT)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</si>
</sst>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#,##0.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6"/>
      <color indexed="8"/>
      <name val="Calibri"/>
      <family val="2"/>
    </font>
    <font>
      <b/>
      <sz val="11"/>
      <color indexed="36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b/>
      <sz val="14"/>
      <color indexed="12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6"/>
      <name val="Calibri"/>
      <family val="2"/>
    </font>
    <font>
      <sz val="14"/>
      <color indexed="8"/>
      <name val="Calibri"/>
      <family val="2"/>
    </font>
    <font>
      <sz val="11"/>
      <color indexed="40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40"/>
      <name val="Calibri"/>
      <family val="2"/>
    </font>
    <font>
      <sz val="8"/>
      <color indexed="55"/>
      <name val="Calibri"/>
      <family val="2"/>
    </font>
    <font>
      <sz val="8"/>
      <name val="Calibri"/>
      <family val="2"/>
    </font>
    <font>
      <i/>
      <sz val="11"/>
      <color indexed="22"/>
      <name val="Arial"/>
      <family val="2"/>
    </font>
    <font>
      <b/>
      <i/>
      <sz val="16"/>
      <color indexed="22"/>
      <name val="Arial"/>
      <family val="2"/>
    </font>
    <font>
      <b/>
      <i/>
      <sz val="11"/>
      <color indexed="22"/>
      <name val="Arial"/>
      <family val="2"/>
    </font>
    <font>
      <i/>
      <sz val="8"/>
      <color indexed="2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Dashed"/>
      <right/>
      <top style="mediumDashed"/>
      <bottom/>
    </border>
    <border>
      <left/>
      <right/>
      <top style="mediumDashed"/>
      <bottom/>
    </border>
    <border>
      <left/>
      <right style="mediumDashed"/>
      <top style="mediumDashed"/>
      <bottom/>
    </border>
    <border>
      <left style="mediumDashed"/>
      <right/>
      <top/>
      <bottom/>
    </border>
    <border>
      <left/>
      <right style="mediumDashed"/>
      <top/>
      <bottom/>
    </border>
    <border>
      <left style="mediumDashed"/>
      <right/>
      <top/>
      <bottom style="mediumDashed"/>
    </border>
    <border>
      <left/>
      <right/>
      <top/>
      <bottom style="mediumDashed"/>
    </border>
    <border>
      <left/>
      <right style="mediumDashed"/>
      <top/>
      <bottom style="mediumDashed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1" fillId="31" borderId="7" applyNumberFormat="0" applyFont="0" applyAlignment="0" applyProtection="0"/>
    <xf numFmtId="0" fontId="58" fillId="26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9" fontId="4" fillId="3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2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10" borderId="10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3" fontId="0" fillId="35" borderId="10" xfId="0" applyNumberFormat="1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0" fontId="5" fillId="5" borderId="0" xfId="0" applyFont="1" applyFill="1" applyAlignment="1">
      <alignment horizontal="left" vertical="center"/>
    </xf>
    <xf numFmtId="3" fontId="0" fillId="5" borderId="10" xfId="0" applyNumberForma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164" fontId="0" fillId="2" borderId="10" xfId="0" applyNumberFormat="1" applyFill="1" applyBorder="1" applyAlignment="1">
      <alignment horizontal="center" vertical="center"/>
    </xf>
    <xf numFmtId="1" fontId="0" fillId="2" borderId="1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2" fontId="0" fillId="2" borderId="10" xfId="0" applyNumberFormat="1" applyFill="1" applyBorder="1" applyAlignment="1">
      <alignment horizontal="center" vertical="center"/>
    </xf>
    <xf numFmtId="0" fontId="15" fillId="0" borderId="17" xfId="0" applyFont="1" applyFill="1" applyBorder="1" applyAlignment="1">
      <alignment vertical="center"/>
    </xf>
    <xf numFmtId="0" fontId="5" fillId="2" borderId="0" xfId="0" applyFont="1" applyFill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/>
    </xf>
    <xf numFmtId="2" fontId="17" fillId="2" borderId="10" xfId="0" applyNumberFormat="1" applyFont="1" applyFill="1" applyBorder="1" applyAlignment="1">
      <alignment horizontal="center" vertical="center"/>
    </xf>
    <xf numFmtId="1" fontId="17" fillId="2" borderId="10" xfId="0" applyNumberFormat="1" applyFont="1" applyFill="1" applyBorder="1" applyAlignment="1">
      <alignment horizontal="center" vertical="center"/>
    </xf>
    <xf numFmtId="164" fontId="17" fillId="2" borderId="10" xfId="0" applyNumberFormat="1" applyFont="1" applyFill="1" applyBorder="1" applyAlignment="1">
      <alignment horizontal="center" vertical="center"/>
    </xf>
    <xf numFmtId="2" fontId="18" fillId="2" borderId="10" xfId="0" applyNumberFormat="1" applyFont="1" applyFill="1" applyBorder="1" applyAlignment="1">
      <alignment horizontal="center" vertical="center"/>
    </xf>
    <xf numFmtId="1" fontId="18" fillId="2" borderId="10" xfId="0" applyNumberFormat="1" applyFont="1" applyFill="1" applyBorder="1" applyAlignment="1">
      <alignment horizontal="center" vertical="center"/>
    </xf>
    <xf numFmtId="164" fontId="18" fillId="2" borderId="1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7" fontId="0" fillId="0" borderId="14" xfId="0" applyNumberFormat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64" fontId="0" fillId="33" borderId="10" xfId="0" applyNumberForma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66" fontId="0" fillId="0" borderId="0" xfId="0" applyNumberFormat="1" applyAlignment="1">
      <alignment horizontal="center" vertical="center"/>
    </xf>
    <xf numFmtId="166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34" borderId="10" xfId="0" applyFill="1" applyBorder="1" applyAlignment="1">
      <alignment horizontal="right" vertical="center"/>
    </xf>
    <xf numFmtId="166" fontId="0" fillId="33" borderId="10" xfId="0" applyNumberFormat="1" applyFill="1" applyBorder="1" applyAlignment="1">
      <alignment horizontal="center" vertical="center"/>
    </xf>
    <xf numFmtId="166" fontId="0" fillId="10" borderId="10" xfId="0" applyNumberFormat="1" applyFill="1" applyBorder="1" applyAlignment="1">
      <alignment horizontal="center" vertical="center"/>
    </xf>
    <xf numFmtId="166" fontId="0" fillId="2" borderId="10" xfId="0" applyNumberFormat="1" applyFill="1" applyBorder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9" fontId="0" fillId="0" borderId="0" xfId="0" applyNumberFormat="1" applyFill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166" fontId="21" fillId="0" borderId="0" xfId="0" applyNumberFormat="1" applyFont="1" applyAlignment="1">
      <alignment horizontal="center" vertical="center"/>
    </xf>
    <xf numFmtId="9" fontId="0" fillId="0" borderId="10" xfId="0" applyNumberForma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17" xfId="0" applyFont="1" applyFill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2"/>
  <sheetViews>
    <sheetView tabSelected="1" zoomScale="70" zoomScaleNormal="70" zoomScalePageLayoutView="0" workbookViewId="0" topLeftCell="A10">
      <selection activeCell="N47" sqref="N47:S47"/>
    </sheetView>
  </sheetViews>
  <sheetFormatPr defaultColWidth="9.28125" defaultRowHeight="21.75" customHeight="1"/>
  <cols>
    <col min="1" max="1" width="9.28125" style="74" customWidth="1"/>
    <col min="2" max="2" width="22.28125" style="74" bestFit="1" customWidth="1"/>
    <col min="3" max="3" width="9.28125" style="74" customWidth="1"/>
    <col min="4" max="4" width="10.28125" style="74" customWidth="1"/>
    <col min="5" max="5" width="20.28125" style="74" bestFit="1" customWidth="1"/>
    <col min="6" max="6" width="14.7109375" style="74" customWidth="1"/>
    <col min="7" max="7" width="16.8515625" style="74" customWidth="1"/>
    <col min="8" max="8" width="14.28125" style="74" customWidth="1"/>
    <col min="9" max="9" width="12.421875" style="74" customWidth="1"/>
    <col min="10" max="10" width="7.57421875" style="74" customWidth="1"/>
    <col min="11" max="11" width="9.28125" style="74" customWidth="1"/>
    <col min="12" max="12" width="5.7109375" style="74" customWidth="1"/>
    <col min="13" max="14" width="12.28125" style="74" customWidth="1"/>
    <col min="15" max="15" width="15.57421875" style="74" customWidth="1"/>
    <col min="16" max="16" width="18.7109375" style="74" customWidth="1"/>
    <col min="17" max="17" width="21.421875" style="74" customWidth="1"/>
    <col min="18" max="19" width="15.57421875" style="74" customWidth="1"/>
    <col min="20" max="20" width="18.421875" style="97" customWidth="1"/>
    <col min="21" max="23" width="15.57421875" style="74" customWidth="1"/>
    <col min="24" max="24" width="54.421875" style="74" customWidth="1"/>
    <col min="25" max="25" width="15.57421875" style="74" customWidth="1"/>
    <col min="26" max="26" width="6.28125" style="74" customWidth="1"/>
    <col min="27" max="29" width="4.421875" style="74" customWidth="1"/>
    <col min="30" max="30" width="12.00390625" style="74" bestFit="1" customWidth="1"/>
    <col min="31" max="32" width="10.7109375" style="74" bestFit="1" customWidth="1"/>
    <col min="33" max="16384" width="9.28125" style="74" customWidth="1"/>
  </cols>
  <sheetData>
    <row r="1" spans="14:15" ht="21.75" customHeight="1">
      <c r="N1" s="29" t="s">
        <v>22</v>
      </c>
      <c r="O1" s="28" t="s">
        <v>55</v>
      </c>
    </row>
    <row r="2" spans="7:28" ht="21.75" customHeight="1">
      <c r="G2" s="4" t="s">
        <v>5</v>
      </c>
      <c r="Q2" s="107" t="s">
        <v>21</v>
      </c>
      <c r="R2" s="107"/>
      <c r="S2" s="3"/>
      <c r="T2" s="98"/>
      <c r="U2" s="3"/>
      <c r="V2" s="3"/>
      <c r="W2" s="3"/>
      <c r="X2" s="3"/>
      <c r="Y2" s="3"/>
      <c r="Z2" s="3"/>
      <c r="AA2" s="3"/>
      <c r="AB2" s="3"/>
    </row>
    <row r="3" spans="7:28" ht="21.75" customHeight="1">
      <c r="G3" s="6" t="s">
        <v>2</v>
      </c>
      <c r="M3" s="74" t="s">
        <v>51</v>
      </c>
      <c r="O3" s="12" t="s">
        <v>17</v>
      </c>
      <c r="P3" s="30" t="s">
        <v>18</v>
      </c>
      <c r="Q3" s="74" t="s">
        <v>19</v>
      </c>
      <c r="R3" s="74" t="s">
        <v>20</v>
      </c>
      <c r="S3" s="3"/>
      <c r="T3" s="98"/>
      <c r="U3" s="3"/>
      <c r="V3" s="3"/>
      <c r="W3" s="3"/>
      <c r="X3" s="3"/>
      <c r="Y3" s="3"/>
      <c r="Z3" s="3"/>
      <c r="AA3" s="3"/>
      <c r="AB3" s="3"/>
    </row>
    <row r="4" spans="6:28" ht="21.75" customHeight="1">
      <c r="F4" s="58"/>
      <c r="G4" s="10" t="s">
        <v>3</v>
      </c>
      <c r="H4" s="11"/>
      <c r="I4" s="11"/>
      <c r="J4" s="11"/>
      <c r="K4" s="11"/>
      <c r="L4" s="11"/>
      <c r="M4" s="71">
        <f>O4/E15</f>
        <v>2.2375</v>
      </c>
      <c r="N4" s="1" t="s">
        <v>8</v>
      </c>
      <c r="O4" s="1">
        <v>1163.5</v>
      </c>
      <c r="P4" s="1">
        <v>15.7</v>
      </c>
      <c r="Q4" s="1">
        <v>75</v>
      </c>
      <c r="R4" s="1">
        <v>55</v>
      </c>
      <c r="S4" s="3"/>
      <c r="T4" s="98"/>
      <c r="U4" s="3"/>
      <c r="V4" s="3"/>
      <c r="W4" s="3"/>
      <c r="X4" s="3"/>
      <c r="Y4" s="3"/>
      <c r="Z4" s="3"/>
      <c r="AA4" s="3"/>
      <c r="AB4" s="3"/>
    </row>
    <row r="5" spans="6:28" ht="21.75" customHeight="1">
      <c r="F5" s="42"/>
      <c r="G5" s="10" t="s">
        <v>13</v>
      </c>
      <c r="H5" s="11"/>
      <c r="I5" s="11"/>
      <c r="J5" s="11"/>
      <c r="K5" s="11"/>
      <c r="L5" s="72" t="s">
        <v>52</v>
      </c>
      <c r="M5" s="71">
        <f>(E15*12000)/(500*O5)</f>
        <v>17.178251892635927</v>
      </c>
      <c r="N5" s="1" t="s">
        <v>9</v>
      </c>
      <c r="O5" s="1">
        <v>726.5</v>
      </c>
      <c r="P5" s="1">
        <v>11.6</v>
      </c>
      <c r="Q5" s="1">
        <v>48</v>
      </c>
      <c r="R5" s="1">
        <v>42</v>
      </c>
      <c r="S5" s="3"/>
      <c r="T5" s="98"/>
      <c r="U5" s="3"/>
      <c r="V5" s="3"/>
      <c r="W5" s="3"/>
      <c r="X5" s="3"/>
      <c r="Y5" s="3"/>
      <c r="Z5" s="3"/>
      <c r="AA5" s="3"/>
      <c r="AB5" s="3"/>
    </row>
    <row r="6" spans="6:18" ht="21.75" customHeight="1">
      <c r="F6" s="7"/>
      <c r="G6" s="10" t="s">
        <v>4</v>
      </c>
      <c r="H6" s="11"/>
      <c r="I6" s="11"/>
      <c r="J6" s="11"/>
      <c r="K6" s="11"/>
      <c r="L6" s="11"/>
      <c r="M6" s="11"/>
      <c r="N6" s="3"/>
      <c r="O6" s="79" t="s">
        <v>10</v>
      </c>
      <c r="P6" s="74">
        <v>50</v>
      </c>
      <c r="Q6" s="3" t="s">
        <v>11</v>
      </c>
      <c r="R6" s="3"/>
    </row>
    <row r="7" spans="5:28" ht="21.75" customHeight="1">
      <c r="E7" s="39"/>
      <c r="F7" s="35"/>
      <c r="G7" s="83" t="s">
        <v>56</v>
      </c>
      <c r="H7" s="8"/>
      <c r="I7" s="8"/>
      <c r="J7" s="8"/>
      <c r="K7" s="8"/>
      <c r="L7" s="8"/>
      <c r="M7" s="8"/>
      <c r="O7" s="79" t="s">
        <v>10</v>
      </c>
      <c r="P7" s="74">
        <v>75</v>
      </c>
      <c r="Q7" s="3" t="s">
        <v>12</v>
      </c>
      <c r="R7" s="3"/>
      <c r="S7" s="3"/>
      <c r="T7" s="98"/>
      <c r="U7" s="3"/>
      <c r="V7" s="3"/>
      <c r="W7" s="3"/>
      <c r="X7" s="3"/>
      <c r="Y7" s="3"/>
      <c r="Z7" s="3"/>
      <c r="AA7" s="3"/>
      <c r="AB7" s="3"/>
    </row>
    <row r="8" spans="6:28" ht="21.75" customHeight="1">
      <c r="F8" s="41"/>
      <c r="G8" s="83" t="s">
        <v>57</v>
      </c>
      <c r="H8" s="8"/>
      <c r="I8" s="8"/>
      <c r="J8" s="8"/>
      <c r="K8" s="8"/>
      <c r="L8" s="8"/>
      <c r="M8" s="8"/>
      <c r="N8" s="8"/>
      <c r="O8" s="79" t="s">
        <v>48</v>
      </c>
      <c r="P8" s="81">
        <v>0.09615384615384616</v>
      </c>
      <c r="Q8"/>
      <c r="R8" s="3"/>
      <c r="S8" s="3"/>
      <c r="T8" s="98"/>
      <c r="U8" s="3"/>
      <c r="V8" s="3"/>
      <c r="W8" s="3"/>
      <c r="X8" s="3"/>
      <c r="Y8" s="3"/>
      <c r="Z8" s="3"/>
      <c r="AA8" s="3"/>
      <c r="AB8" s="3"/>
    </row>
    <row r="9" spans="6:29" ht="21.75" customHeight="1">
      <c r="F9" s="33"/>
      <c r="G9" s="83" t="s">
        <v>70</v>
      </c>
      <c r="H9" s="8"/>
      <c r="I9" s="8"/>
      <c r="J9" s="8"/>
      <c r="K9" s="8"/>
      <c r="L9" s="8"/>
      <c r="M9" s="8"/>
      <c r="N9" s="8"/>
      <c r="O9" s="80" t="s">
        <v>49</v>
      </c>
      <c r="P9" s="82">
        <v>0.14423076923076922</v>
      </c>
      <c r="Q9" s="8"/>
      <c r="R9" s="3"/>
      <c r="S9" s="3"/>
      <c r="T9" s="98"/>
      <c r="U9" s="3"/>
      <c r="V9" s="3"/>
      <c r="W9" s="3"/>
      <c r="X9" s="3"/>
      <c r="Y9" s="3"/>
      <c r="Z9" s="3"/>
      <c r="AA9" s="3"/>
      <c r="AB9" s="3"/>
      <c r="AC9" s="9"/>
    </row>
    <row r="10" spans="5:36" ht="21.75" customHeight="1" thickBot="1">
      <c r="E10" s="37" t="s">
        <v>15</v>
      </c>
      <c r="F10" s="37"/>
      <c r="G10" s="37"/>
      <c r="H10" s="37"/>
      <c r="I10" s="37"/>
      <c r="J10" s="8"/>
      <c r="K10" s="37"/>
      <c r="L10" s="8"/>
      <c r="M10" s="57" t="s">
        <v>47</v>
      </c>
      <c r="N10" s="57"/>
      <c r="O10" s="57"/>
      <c r="P10" s="57"/>
      <c r="Q10" s="57"/>
      <c r="R10" s="57"/>
      <c r="S10" s="57"/>
      <c r="T10" s="99"/>
      <c r="U10" s="57"/>
      <c r="V10" s="57"/>
      <c r="W10" s="57"/>
      <c r="X10" s="57"/>
      <c r="Y10" s="3"/>
      <c r="Z10" s="57"/>
      <c r="AA10" s="3"/>
      <c r="AB10" s="37" t="s">
        <v>46</v>
      </c>
      <c r="AC10" s="37"/>
      <c r="AD10" s="37"/>
      <c r="AE10" s="37"/>
      <c r="AF10" s="37"/>
      <c r="AG10" s="37"/>
      <c r="AH10" s="37"/>
      <c r="AI10" s="37"/>
      <c r="AJ10" s="37"/>
    </row>
    <row r="11" spans="1:37" ht="21.75" customHeight="1">
      <c r="A11" s="15"/>
      <c r="B11" s="16"/>
      <c r="C11" s="16"/>
      <c r="D11" s="16"/>
      <c r="E11" s="16"/>
      <c r="F11" s="16"/>
      <c r="G11" s="16"/>
      <c r="H11" s="23"/>
      <c r="I11" s="16"/>
      <c r="J11" s="17"/>
      <c r="L11" s="15"/>
      <c r="M11" s="16"/>
      <c r="N11" s="16"/>
      <c r="O11" s="16"/>
      <c r="P11" s="16"/>
      <c r="Q11" s="16"/>
      <c r="R11" s="16"/>
      <c r="S11" s="16"/>
      <c r="T11" s="100"/>
      <c r="U11" s="16"/>
      <c r="V11" s="16"/>
      <c r="W11" s="16"/>
      <c r="X11" s="16"/>
      <c r="Y11" s="17"/>
      <c r="Z11" s="3"/>
      <c r="AA11" s="15"/>
      <c r="AB11" s="16"/>
      <c r="AC11" s="16"/>
      <c r="AD11" s="16"/>
      <c r="AE11" s="16"/>
      <c r="AF11" s="16"/>
      <c r="AG11" s="16"/>
      <c r="AH11" s="16"/>
      <c r="AI11" s="16"/>
      <c r="AJ11" s="16"/>
      <c r="AK11" s="17"/>
    </row>
    <row r="12" spans="1:37" ht="21.75" customHeight="1">
      <c r="A12" s="18"/>
      <c r="F12" s="12"/>
      <c r="G12" s="12"/>
      <c r="H12" s="12"/>
      <c r="I12" s="12"/>
      <c r="J12" s="19"/>
      <c r="L12" s="18"/>
      <c r="M12" s="55" t="s">
        <v>45</v>
      </c>
      <c r="N12" s="12"/>
      <c r="O12" s="12"/>
      <c r="P12" s="12"/>
      <c r="Q12" s="55" t="s">
        <v>44</v>
      </c>
      <c r="R12" s="12"/>
      <c r="S12" s="12"/>
      <c r="T12" s="101"/>
      <c r="U12" s="55" t="s">
        <v>43</v>
      </c>
      <c r="V12" s="12"/>
      <c r="W12" s="12"/>
      <c r="X12" s="12"/>
      <c r="Y12" s="19"/>
      <c r="AA12" s="18"/>
      <c r="AB12" s="12"/>
      <c r="AC12" s="12"/>
      <c r="AD12" s="12"/>
      <c r="AE12" s="12"/>
      <c r="AF12" s="12"/>
      <c r="AG12" s="12"/>
      <c r="AH12" s="12"/>
      <c r="AI12" s="12"/>
      <c r="AJ12" s="12"/>
      <c r="AK12" s="19"/>
    </row>
    <row r="13" spans="1:37" ht="21.75" customHeight="1">
      <c r="A13" s="18"/>
      <c r="C13" s="31"/>
      <c r="D13" s="31"/>
      <c r="E13" s="108" t="s">
        <v>1</v>
      </c>
      <c r="F13" s="108"/>
      <c r="G13" s="44"/>
      <c r="H13" s="31"/>
      <c r="J13" s="19"/>
      <c r="L13" s="18"/>
      <c r="M13" s="13" t="s">
        <v>42</v>
      </c>
      <c r="N13" s="13" t="s">
        <v>41</v>
      </c>
      <c r="O13" s="13" t="s">
        <v>40</v>
      </c>
      <c r="P13" s="12"/>
      <c r="Q13" s="13" t="s">
        <v>42</v>
      </c>
      <c r="R13" s="13" t="s">
        <v>41</v>
      </c>
      <c r="S13" s="13" t="s">
        <v>40</v>
      </c>
      <c r="T13" s="102" t="s">
        <v>71</v>
      </c>
      <c r="U13" s="13" t="s">
        <v>42</v>
      </c>
      <c r="V13" s="13" t="s">
        <v>41</v>
      </c>
      <c r="W13" s="13" t="s">
        <v>40</v>
      </c>
      <c r="X13" s="13"/>
      <c r="Y13" s="19"/>
      <c r="AA13" s="18"/>
      <c r="AB13" s="46" t="str">
        <f>CONCATENATE("""",O1,"-CAP-fCHWT&amp;ECT"""," = CURVE-FIT")</f>
        <v>"VSD Chiller-CAP-fCHWT&amp;ECT" = CURVE-FIT</v>
      </c>
      <c r="AC13" s="12"/>
      <c r="AD13" s="12"/>
      <c r="AE13" s="12"/>
      <c r="AF13" s="12"/>
      <c r="AG13" s="12"/>
      <c r="AH13" s="12"/>
      <c r="AI13" s="12"/>
      <c r="AJ13" s="12"/>
      <c r="AK13" s="19"/>
    </row>
    <row r="14" spans="1:37" ht="21.75" customHeight="1">
      <c r="A14" s="18"/>
      <c r="C14" s="14" t="s">
        <v>0</v>
      </c>
      <c r="D14" s="14" t="s">
        <v>16</v>
      </c>
      <c r="E14" s="24" t="s">
        <v>65</v>
      </c>
      <c r="F14" s="63" t="s">
        <v>25</v>
      </c>
      <c r="G14" s="63" t="s">
        <v>67</v>
      </c>
      <c r="H14" s="90" t="s">
        <v>50</v>
      </c>
      <c r="I14" s="91" t="s">
        <v>53</v>
      </c>
      <c r="J14" s="19"/>
      <c r="L14" s="18"/>
      <c r="M14" s="14" t="s">
        <v>0</v>
      </c>
      <c r="N14" s="14" t="s">
        <v>16</v>
      </c>
      <c r="O14" s="14" t="s">
        <v>39</v>
      </c>
      <c r="P14" s="12"/>
      <c r="Q14" s="14" t="s">
        <v>0</v>
      </c>
      <c r="R14" s="14" t="s">
        <v>16</v>
      </c>
      <c r="S14" s="14" t="s">
        <v>38</v>
      </c>
      <c r="T14" s="102" t="s">
        <v>72</v>
      </c>
      <c r="U14" s="14" t="s">
        <v>37</v>
      </c>
      <c r="V14" s="14" t="s">
        <v>36</v>
      </c>
      <c r="W14" s="14" t="s">
        <v>35</v>
      </c>
      <c r="X14" s="13"/>
      <c r="Y14" s="19"/>
      <c r="AA14" s="18"/>
      <c r="AB14" s="46" t="s">
        <v>34</v>
      </c>
      <c r="AC14" s="12"/>
      <c r="AD14" s="12"/>
      <c r="AE14" s="12"/>
      <c r="AF14" s="12"/>
      <c r="AG14" s="12"/>
      <c r="AH14" s="12"/>
      <c r="AI14" s="12"/>
      <c r="AJ14" s="12"/>
      <c r="AK14" s="19"/>
    </row>
    <row r="15" spans="1:37" ht="21.75" customHeight="1">
      <c r="A15" s="75"/>
      <c r="B15" s="76"/>
      <c r="C15" s="2">
        <v>42</v>
      </c>
      <c r="D15" s="2">
        <v>75</v>
      </c>
      <c r="E15" s="38">
        <v>520</v>
      </c>
      <c r="F15" s="33">
        <v>0.518</v>
      </c>
      <c r="G15" s="33">
        <f aca="true" t="shared" si="0" ref="G15:G34">(F15*3.412)/12</f>
        <v>0.14728466666666667</v>
      </c>
      <c r="H15" s="90">
        <f aca="true" t="shared" si="1" ref="H15:H33">(E15*12000)/1000000</f>
        <v>6.24</v>
      </c>
      <c r="I15" s="92">
        <f aca="true" t="shared" si="2" ref="I15:I34">12/(F15*3.412)</f>
        <v>6.78957302638428</v>
      </c>
      <c r="J15" s="19"/>
      <c r="L15" s="18"/>
      <c r="M15" s="53">
        <f aca="true" t="shared" si="3" ref="M15:M34">C15</f>
        <v>42</v>
      </c>
      <c r="N15" s="53">
        <f>D15</f>
        <v>75</v>
      </c>
      <c r="O15" s="52" t="str">
        <f aca="true" t="shared" si="4" ref="O15:O34">TEXT((E15/$O$45),"0.000")</f>
        <v>1.000</v>
      </c>
      <c r="P15" s="12"/>
      <c r="Q15" s="53">
        <f aca="true" t="shared" si="5" ref="Q15:R34">M15</f>
        <v>42</v>
      </c>
      <c r="R15" s="53">
        <f t="shared" si="5"/>
        <v>75</v>
      </c>
      <c r="S15" s="52" t="str">
        <f>TEXT(G15/$G$15,"0.000")</f>
        <v>1.000</v>
      </c>
      <c r="T15" s="103">
        <f>E40/($E$15*$O$15)</f>
        <v>1</v>
      </c>
      <c r="U15" s="56" t="str">
        <f>TEXT(B40,"0.00")</f>
        <v>1.00</v>
      </c>
      <c r="V15" s="53">
        <f>D40-C40</f>
        <v>33</v>
      </c>
      <c r="W15" s="52" t="str">
        <f>TEXT(F40/$F$40,"0.000")</f>
        <v>1.000</v>
      </c>
      <c r="X15" s="13"/>
      <c r="Y15" s="19"/>
      <c r="AA15" s="18"/>
      <c r="AB15" s="46" t="s">
        <v>32</v>
      </c>
      <c r="AC15" s="12"/>
      <c r="AD15" s="12"/>
      <c r="AE15" s="12"/>
      <c r="AF15" s="12"/>
      <c r="AG15" s="12"/>
      <c r="AH15" s="12"/>
      <c r="AI15" s="12"/>
      <c r="AJ15" s="12"/>
      <c r="AK15" s="19"/>
    </row>
    <row r="16" spans="1:37" ht="21.75" customHeight="1">
      <c r="A16" s="75"/>
      <c r="B16" s="76"/>
      <c r="C16" s="2">
        <v>42</v>
      </c>
      <c r="D16" s="2">
        <f>D15-4</f>
        <v>71</v>
      </c>
      <c r="E16" s="32">
        <v>535</v>
      </c>
      <c r="F16" s="34">
        <v>0.474</v>
      </c>
      <c r="G16" s="34">
        <f t="shared" si="0"/>
        <v>0.13477399999999998</v>
      </c>
      <c r="H16" s="90">
        <f t="shared" si="1"/>
        <v>6.42</v>
      </c>
      <c r="I16" s="92">
        <f t="shared" si="2"/>
        <v>7.419828750352442</v>
      </c>
      <c r="J16" s="19"/>
      <c r="L16" s="18"/>
      <c r="M16" s="53">
        <f t="shared" si="3"/>
        <v>42</v>
      </c>
      <c r="N16" s="53">
        <f aca="true" t="shared" si="6" ref="N15:N34">D16</f>
        <v>71</v>
      </c>
      <c r="O16" s="52" t="str">
        <f t="shared" si="4"/>
        <v>1.029</v>
      </c>
      <c r="P16" s="12"/>
      <c r="Q16" s="53">
        <f t="shared" si="5"/>
        <v>42</v>
      </c>
      <c r="R16" s="53">
        <f t="shared" si="5"/>
        <v>71</v>
      </c>
      <c r="S16" s="52" t="str">
        <f aca="true" t="shared" si="7" ref="S16:S34">TEXT(G16/$G$15,"0.000")</f>
        <v>0.915</v>
      </c>
      <c r="T16" s="103">
        <f>E41/($E$15*$O$15)</f>
        <v>0.8</v>
      </c>
      <c r="U16" s="56" t="str">
        <f aca="true" t="shared" si="8" ref="U16:U32">TEXT(B41,"0.00")</f>
        <v>0.80</v>
      </c>
      <c r="V16" s="53">
        <f aca="true" t="shared" si="9" ref="V16:V32">D41-C41</f>
        <v>33</v>
      </c>
      <c r="W16" s="52" t="str">
        <f>TEXT(F41/$F$40,"0.000")</f>
        <v>0.680</v>
      </c>
      <c r="X16" s="13"/>
      <c r="Y16" s="19"/>
      <c r="AA16" s="18"/>
      <c r="AB16" s="46" t="str">
        <f>CONCATENATE("   INDEPENDENT-1    = ","("," ",M15,", ",M16,", ",M17,", ",M18,", ",M19,", ",M20,", ",M21,", ",M22,", ",M23,", ",M24,", ")</f>
        <v>   INDEPENDENT-1    = ( 42, 42, 42, 42, 42, 42, 45, 45, 45, 45, </v>
      </c>
      <c r="AC16" s="12"/>
      <c r="AD16" s="12"/>
      <c r="AE16" s="12"/>
      <c r="AF16" s="12"/>
      <c r="AG16" s="12"/>
      <c r="AH16" s="12"/>
      <c r="AI16" s="12"/>
      <c r="AJ16" s="12"/>
      <c r="AK16" s="19"/>
    </row>
    <row r="17" spans="1:37" ht="21.75" customHeight="1">
      <c r="A17" s="75"/>
      <c r="B17" s="76"/>
      <c r="C17" s="2">
        <v>42</v>
      </c>
      <c r="D17" s="2">
        <f>D16-4</f>
        <v>67</v>
      </c>
      <c r="E17" s="32">
        <v>550</v>
      </c>
      <c r="F17" s="34">
        <v>0.343</v>
      </c>
      <c r="G17" s="34">
        <f t="shared" si="0"/>
        <v>0.09752633333333334</v>
      </c>
      <c r="H17" s="90">
        <f t="shared" si="1"/>
        <v>6.6</v>
      </c>
      <c r="I17" s="92">
        <f t="shared" si="2"/>
        <v>10.253640896988504</v>
      </c>
      <c r="J17" s="19"/>
      <c r="L17" s="18"/>
      <c r="M17" s="53">
        <f t="shared" si="3"/>
        <v>42</v>
      </c>
      <c r="N17" s="53">
        <f t="shared" si="6"/>
        <v>67</v>
      </c>
      <c r="O17" s="52" t="str">
        <f t="shared" si="4"/>
        <v>1.058</v>
      </c>
      <c r="P17" s="12"/>
      <c r="Q17" s="53">
        <f t="shared" si="5"/>
        <v>42</v>
      </c>
      <c r="R17" s="53">
        <f t="shared" si="5"/>
        <v>67</v>
      </c>
      <c r="S17" s="52" t="str">
        <f t="shared" si="7"/>
        <v>0.662</v>
      </c>
      <c r="T17" s="103">
        <f>E42/($E$15*$O$15)</f>
        <v>0.6</v>
      </c>
      <c r="U17" s="56" t="str">
        <f t="shared" si="8"/>
        <v>0.60</v>
      </c>
      <c r="V17" s="53">
        <f t="shared" si="9"/>
        <v>33</v>
      </c>
      <c r="W17" s="52" t="str">
        <f>TEXT(F42/$F$40,"0.000")</f>
        <v>0.430</v>
      </c>
      <c r="X17" s="13"/>
      <c r="Y17" s="19"/>
      <c r="AA17" s="18"/>
      <c r="AB17" s="46" t="str">
        <f>CONCATENATE("                        ",M25,", ",M26,", ",M27,", ",M28,", ",M29,", ",M30,", ",M31,", ",M32,", ",M33,", ",M34," ",")")</f>
        <v>                        45, 45, 45, 45, 48, 48, 48, 48, 48, 48 )</v>
      </c>
      <c r="AC17" s="12"/>
      <c r="AD17" s="12"/>
      <c r="AE17" s="12"/>
      <c r="AF17" s="12"/>
      <c r="AG17" s="12"/>
      <c r="AH17" s="12"/>
      <c r="AI17" s="12"/>
      <c r="AJ17" s="12"/>
      <c r="AK17" s="19"/>
    </row>
    <row r="18" spans="1:37" ht="21.75" customHeight="1">
      <c r="A18" s="75"/>
      <c r="B18" s="76"/>
      <c r="C18" s="2">
        <v>42</v>
      </c>
      <c r="D18" s="2">
        <f>D17-4</f>
        <v>63</v>
      </c>
      <c r="E18" s="32">
        <v>560</v>
      </c>
      <c r="F18" s="34">
        <v>0.337</v>
      </c>
      <c r="G18" s="34">
        <f t="shared" si="0"/>
        <v>0.09582033333333334</v>
      </c>
      <c r="H18" s="90">
        <f t="shared" si="1"/>
        <v>6.72</v>
      </c>
      <c r="I18" s="92">
        <f t="shared" si="2"/>
        <v>10.436198301682662</v>
      </c>
      <c r="J18" s="19"/>
      <c r="L18" s="18"/>
      <c r="M18" s="53">
        <f t="shared" si="3"/>
        <v>42</v>
      </c>
      <c r="N18" s="53">
        <f t="shared" si="6"/>
        <v>63</v>
      </c>
      <c r="O18" s="52" t="str">
        <f t="shared" si="4"/>
        <v>1.077</v>
      </c>
      <c r="P18" s="12"/>
      <c r="Q18" s="53">
        <f t="shared" si="5"/>
        <v>42</v>
      </c>
      <c r="R18" s="53">
        <f t="shared" si="5"/>
        <v>63</v>
      </c>
      <c r="S18" s="52" t="str">
        <f t="shared" si="7"/>
        <v>0.651</v>
      </c>
      <c r="T18" s="103">
        <f>E43/($E$15*$O$15)</f>
        <v>0.4</v>
      </c>
      <c r="U18" s="56" t="str">
        <f t="shared" si="8"/>
        <v>0.40</v>
      </c>
      <c r="V18" s="53">
        <f t="shared" si="9"/>
        <v>33</v>
      </c>
      <c r="W18" s="52" t="str">
        <f>TEXT(F43/$F$40,"0.000")</f>
        <v>0.236</v>
      </c>
      <c r="Y18" s="19"/>
      <c r="AA18" s="18"/>
      <c r="AB18" s="46" t="str">
        <f>CONCATENATE("   INDEPENDENT-2    = ","("," ",N15,", ",N16,", ",N17,", ",N18,", ",N19,", ",N20,", ",N21,", ",N22,", ",N23,", ",N24,", ")</f>
        <v>   INDEPENDENT-2    = ( 75, 71, 67, 63, 59, 55, 75, 72, 69, 66, </v>
      </c>
      <c r="AC18" s="12"/>
      <c r="AD18" s="12"/>
      <c r="AE18" s="12"/>
      <c r="AF18" s="12"/>
      <c r="AG18" s="12"/>
      <c r="AH18" s="12"/>
      <c r="AI18" s="12"/>
      <c r="AJ18" s="12"/>
      <c r="AK18" s="19"/>
    </row>
    <row r="19" spans="1:37" ht="21.75" customHeight="1">
      <c r="A19" s="75"/>
      <c r="B19" s="76"/>
      <c r="C19" s="2">
        <v>42</v>
      </c>
      <c r="D19" s="2">
        <f>D18-4</f>
        <v>59</v>
      </c>
      <c r="E19" s="32">
        <v>575</v>
      </c>
      <c r="F19" s="34">
        <v>0.342</v>
      </c>
      <c r="G19" s="34">
        <f t="shared" si="0"/>
        <v>0.09724200000000001</v>
      </c>
      <c r="H19" s="90">
        <f t="shared" si="1"/>
        <v>6.9</v>
      </c>
      <c r="I19" s="92">
        <f t="shared" si="2"/>
        <v>10.28362230312005</v>
      </c>
      <c r="J19" s="19"/>
      <c r="L19" s="18"/>
      <c r="M19" s="53">
        <f t="shared" si="3"/>
        <v>42</v>
      </c>
      <c r="N19" s="53">
        <f t="shared" si="6"/>
        <v>59</v>
      </c>
      <c r="O19" s="52" t="str">
        <f t="shared" si="4"/>
        <v>1.106</v>
      </c>
      <c r="P19" s="12"/>
      <c r="Q19" s="53">
        <f t="shared" si="5"/>
        <v>42</v>
      </c>
      <c r="R19" s="53">
        <f t="shared" si="5"/>
        <v>59</v>
      </c>
      <c r="S19" s="52" t="str">
        <f t="shared" si="7"/>
        <v>0.660</v>
      </c>
      <c r="T19" s="103">
        <f>E44/($E$15*$O$15)</f>
        <v>0.15</v>
      </c>
      <c r="U19" s="56" t="str">
        <f t="shared" si="8"/>
        <v>0.15</v>
      </c>
      <c r="V19" s="53">
        <f t="shared" si="9"/>
        <v>33</v>
      </c>
      <c r="W19" s="52" t="str">
        <f>TEXT(F44/$F$40,"0.000")</f>
        <v>0.097</v>
      </c>
      <c r="X19" s="13"/>
      <c r="Y19" s="19"/>
      <c r="AA19" s="18"/>
      <c r="AB19" s="46" t="str">
        <f>CONCATENATE("                        ",N25,", ",N26,", ",N27,", ",N28,", ",N29,", ",N30,", ",N31,", ",N32,", ",N33,", ",N34," ",")")</f>
        <v>                        63, 60, 57, 55, 75, 71, 67, 63, 59, 55 )</v>
      </c>
      <c r="AC19" s="12"/>
      <c r="AD19" s="12"/>
      <c r="AE19" s="12"/>
      <c r="AF19" s="12"/>
      <c r="AG19" s="12"/>
      <c r="AH19" s="12"/>
      <c r="AI19" s="12"/>
      <c r="AJ19" s="12"/>
      <c r="AK19" s="19"/>
    </row>
    <row r="20" spans="1:37" ht="21" customHeight="1">
      <c r="A20" s="75"/>
      <c r="B20" s="76"/>
      <c r="C20" s="2">
        <v>42</v>
      </c>
      <c r="D20" s="2">
        <f>D19-4</f>
        <v>55</v>
      </c>
      <c r="E20" s="32">
        <v>575</v>
      </c>
      <c r="F20" s="34">
        <v>0.344</v>
      </c>
      <c r="G20" s="34">
        <f t="shared" si="0"/>
        <v>0.09781066666666666</v>
      </c>
      <c r="H20" s="90">
        <f t="shared" si="1"/>
        <v>6.9</v>
      </c>
      <c r="I20" s="92">
        <f t="shared" si="2"/>
        <v>10.223833801357726</v>
      </c>
      <c r="J20" s="19"/>
      <c r="L20" s="18"/>
      <c r="M20" s="53">
        <f t="shared" si="3"/>
        <v>42</v>
      </c>
      <c r="N20" s="53">
        <f t="shared" si="6"/>
        <v>55</v>
      </c>
      <c r="O20" s="52" t="str">
        <f t="shared" si="4"/>
        <v>1.106</v>
      </c>
      <c r="P20" s="12"/>
      <c r="Q20" s="53">
        <f t="shared" si="5"/>
        <v>42</v>
      </c>
      <c r="R20" s="53">
        <f t="shared" si="5"/>
        <v>55</v>
      </c>
      <c r="S20" s="52" t="str">
        <f t="shared" si="7"/>
        <v>0.664</v>
      </c>
      <c r="T20" s="103">
        <f>E45/($E$15*$O$26)</f>
        <v>0.9997913478926137</v>
      </c>
      <c r="U20" s="67" t="str">
        <f t="shared" si="8"/>
        <v>1.00</v>
      </c>
      <c r="V20" s="68">
        <f t="shared" si="9"/>
        <v>15</v>
      </c>
      <c r="W20" s="69" t="str">
        <f aca="true" t="shared" si="10" ref="W20:W29">TEXT(F45/$F$45,"0.000")</f>
        <v>1.000</v>
      </c>
      <c r="X20" s="84" t="s">
        <v>64</v>
      </c>
      <c r="Y20" s="19"/>
      <c r="AA20" s="18"/>
      <c r="AB20" s="46" t="str">
        <f>CONCATENATE("   DEPENDENT        = ","("," ",O15,", ",O16,", ",O17,", ",O18,", ",O19,", ")</f>
        <v>   DEPENDENT        = ( 1.000, 1.029, 1.058, 1.077, 1.106, </v>
      </c>
      <c r="AC20" s="12"/>
      <c r="AD20" s="12"/>
      <c r="AE20" s="12"/>
      <c r="AF20" s="12"/>
      <c r="AG20" s="12"/>
      <c r="AH20" s="12"/>
      <c r="AI20" s="12"/>
      <c r="AJ20" s="12"/>
      <c r="AK20" s="19"/>
    </row>
    <row r="21" spans="1:37" ht="21.75" customHeight="1">
      <c r="A21" s="75"/>
      <c r="B21" s="76"/>
      <c r="C21" s="2">
        <v>45</v>
      </c>
      <c r="D21" s="2">
        <v>75</v>
      </c>
      <c r="E21" s="32">
        <v>555</v>
      </c>
      <c r="F21" s="34">
        <v>0.492</v>
      </c>
      <c r="G21" s="34">
        <f t="shared" si="0"/>
        <v>0.139892</v>
      </c>
      <c r="H21" s="90">
        <f t="shared" si="1"/>
        <v>6.66</v>
      </c>
      <c r="I21" s="92">
        <f t="shared" si="2"/>
        <v>7.148371600949304</v>
      </c>
      <c r="J21" s="19"/>
      <c r="L21" s="18"/>
      <c r="M21" s="53">
        <f t="shared" si="3"/>
        <v>45</v>
      </c>
      <c r="N21" s="53">
        <f t="shared" si="6"/>
        <v>75</v>
      </c>
      <c r="O21" s="52" t="str">
        <f t="shared" si="4"/>
        <v>1.067</v>
      </c>
      <c r="P21" s="12"/>
      <c r="Q21" s="53">
        <f t="shared" si="5"/>
        <v>45</v>
      </c>
      <c r="R21" s="53">
        <f t="shared" si="5"/>
        <v>75</v>
      </c>
      <c r="S21" s="52" t="str">
        <f t="shared" si="7"/>
        <v>0.950</v>
      </c>
      <c r="T21" s="103">
        <f aca="true" t="shared" si="11" ref="T21:T28">E46/($E$15*$O$26)</f>
        <v>0.8998122131033524</v>
      </c>
      <c r="U21" s="67" t="str">
        <f t="shared" si="8"/>
        <v>0.90</v>
      </c>
      <c r="V21" s="68">
        <f t="shared" si="9"/>
        <v>15</v>
      </c>
      <c r="W21" s="69" t="str">
        <f t="shared" si="10"/>
        <v>0.837</v>
      </c>
      <c r="Y21" s="19"/>
      <c r="AA21" s="18"/>
      <c r="AB21" s="46" t="str">
        <f>CONCATENATE("                        ",O20,", ",O21,", ",O22,", ",O23,", ",O24,", ")</f>
        <v>                        1.106, 1.067, 1.087, 1.106, 1.106, </v>
      </c>
      <c r="AC21" s="12"/>
      <c r="AD21" s="12"/>
      <c r="AE21" s="12"/>
      <c r="AF21" s="12"/>
      <c r="AG21" s="12"/>
      <c r="AH21" s="12"/>
      <c r="AI21" s="12"/>
      <c r="AJ21" s="12"/>
      <c r="AK21" s="19"/>
    </row>
    <row r="22" spans="1:37" ht="21.75" customHeight="1">
      <c r="A22" s="75"/>
      <c r="B22" s="76"/>
      <c r="C22" s="2">
        <v>45</v>
      </c>
      <c r="D22" s="2">
        <f aca="true" t="shared" si="12" ref="D22:D27">D21-3</f>
        <v>72</v>
      </c>
      <c r="E22" s="32">
        <v>565</v>
      </c>
      <c r="F22" s="34">
        <v>0.459</v>
      </c>
      <c r="G22" s="34">
        <f t="shared" si="0"/>
        <v>0.13050900000000001</v>
      </c>
      <c r="H22" s="90">
        <f t="shared" si="1"/>
        <v>6.78</v>
      </c>
      <c r="I22" s="92">
        <f t="shared" si="2"/>
        <v>7.662306814089449</v>
      </c>
      <c r="J22" s="19"/>
      <c r="L22" s="18"/>
      <c r="M22" s="53">
        <f t="shared" si="3"/>
        <v>45</v>
      </c>
      <c r="N22" s="53">
        <f t="shared" si="6"/>
        <v>72</v>
      </c>
      <c r="O22" s="52" t="str">
        <f t="shared" si="4"/>
        <v>1.087</v>
      </c>
      <c r="P22" s="12"/>
      <c r="Q22" s="53">
        <f t="shared" si="5"/>
        <v>45</v>
      </c>
      <c r="R22" s="53">
        <f t="shared" si="5"/>
        <v>72</v>
      </c>
      <c r="S22" s="52" t="str">
        <f t="shared" si="7"/>
        <v>0.886</v>
      </c>
      <c r="T22" s="103">
        <f t="shared" si="11"/>
        <v>0.799833078314091</v>
      </c>
      <c r="U22" s="67" t="str">
        <f t="shared" si="8"/>
        <v>0.80</v>
      </c>
      <c r="V22" s="68">
        <f t="shared" si="9"/>
        <v>15</v>
      </c>
      <c r="W22" s="69" t="str">
        <f t="shared" si="10"/>
        <v>0.699</v>
      </c>
      <c r="X22" s="13"/>
      <c r="Y22" s="19"/>
      <c r="AA22" s="18"/>
      <c r="AB22" s="46" t="str">
        <f>CONCATENATE("                        ",O25,", ",O26,", ",O27,", ",O28,", ",O29,", ")</f>
        <v>                        1.106, 1.106, 1.106, 1.106, 1.106, </v>
      </c>
      <c r="AC22" s="12"/>
      <c r="AD22" s="12"/>
      <c r="AE22" s="12"/>
      <c r="AF22" s="12"/>
      <c r="AG22" s="12"/>
      <c r="AH22" s="12"/>
      <c r="AI22" s="12"/>
      <c r="AJ22" s="12"/>
      <c r="AK22" s="19"/>
    </row>
    <row r="23" spans="1:37" ht="21.75" customHeight="1">
      <c r="A23" s="75"/>
      <c r="B23" s="76"/>
      <c r="C23" s="2">
        <v>45</v>
      </c>
      <c r="D23" s="2">
        <f t="shared" si="12"/>
        <v>69</v>
      </c>
      <c r="E23" s="32">
        <v>575</v>
      </c>
      <c r="F23" s="34">
        <v>0.433</v>
      </c>
      <c r="G23" s="34">
        <f t="shared" si="0"/>
        <v>0.12311633333333333</v>
      </c>
      <c r="H23" s="90">
        <f t="shared" si="1"/>
        <v>6.9</v>
      </c>
      <c r="I23" s="92">
        <f t="shared" si="2"/>
        <v>8.122399140108678</v>
      </c>
      <c r="J23" s="19"/>
      <c r="L23" s="18"/>
      <c r="M23" s="53">
        <f t="shared" si="3"/>
        <v>45</v>
      </c>
      <c r="N23" s="53">
        <f t="shared" si="6"/>
        <v>69</v>
      </c>
      <c r="O23" s="52" t="str">
        <f t="shared" si="4"/>
        <v>1.106</v>
      </c>
      <c r="P23" s="12"/>
      <c r="Q23" s="53">
        <f t="shared" si="5"/>
        <v>45</v>
      </c>
      <c r="R23" s="53">
        <f t="shared" si="5"/>
        <v>69</v>
      </c>
      <c r="S23" s="52" t="str">
        <f t="shared" si="7"/>
        <v>0.836</v>
      </c>
      <c r="T23" s="103">
        <f t="shared" si="11"/>
        <v>0.6998539435248295</v>
      </c>
      <c r="U23" s="67" t="str">
        <f t="shared" si="8"/>
        <v>0.70</v>
      </c>
      <c r="V23" s="68">
        <f t="shared" si="9"/>
        <v>15</v>
      </c>
      <c r="W23" s="69" t="str">
        <f t="shared" si="10"/>
        <v>0.578</v>
      </c>
      <c r="X23" s="13"/>
      <c r="Y23" s="19"/>
      <c r="AA23" s="18"/>
      <c r="AB23" s="46" t="str">
        <f>CONCATENATE("                        ",O30,", ",O31,", ",O32,", ",O33,", ",O34," ) ")</f>
        <v>                        1.106, 1.106, 1.106, 1.106, 1.106 ) </v>
      </c>
      <c r="AC23" s="12"/>
      <c r="AD23" s="12"/>
      <c r="AE23" s="12"/>
      <c r="AF23" s="12"/>
      <c r="AG23" s="12"/>
      <c r="AH23" s="12"/>
      <c r="AI23" s="12"/>
      <c r="AJ23" s="12"/>
      <c r="AK23" s="19"/>
    </row>
    <row r="24" spans="1:37" ht="21.75" customHeight="1">
      <c r="A24" s="75"/>
      <c r="B24" s="76"/>
      <c r="C24" s="2">
        <v>45</v>
      </c>
      <c r="D24" s="2">
        <f t="shared" si="12"/>
        <v>66</v>
      </c>
      <c r="E24" s="32">
        <v>575</v>
      </c>
      <c r="F24" s="34">
        <v>0.405</v>
      </c>
      <c r="G24" s="34">
        <f t="shared" si="0"/>
        <v>0.11515500000000001</v>
      </c>
      <c r="H24" s="90">
        <f t="shared" si="1"/>
        <v>6.9</v>
      </c>
      <c r="I24" s="92">
        <f t="shared" si="2"/>
        <v>8.68394772263471</v>
      </c>
      <c r="J24" s="19"/>
      <c r="L24" s="18"/>
      <c r="M24" s="53">
        <f t="shared" si="3"/>
        <v>45</v>
      </c>
      <c r="N24" s="53">
        <f t="shared" si="6"/>
        <v>66</v>
      </c>
      <c r="O24" s="52" t="str">
        <f t="shared" si="4"/>
        <v>1.106</v>
      </c>
      <c r="P24" s="12"/>
      <c r="Q24" s="53">
        <f t="shared" si="5"/>
        <v>45</v>
      </c>
      <c r="R24" s="53">
        <f t="shared" si="5"/>
        <v>66</v>
      </c>
      <c r="S24" s="52" t="str">
        <f t="shared" si="7"/>
        <v>0.782</v>
      </c>
      <c r="T24" s="103">
        <f t="shared" si="11"/>
        <v>0.5998748087355682</v>
      </c>
      <c r="U24" s="67" t="str">
        <f t="shared" si="8"/>
        <v>0.60</v>
      </c>
      <c r="V24" s="68">
        <f t="shared" si="9"/>
        <v>15</v>
      </c>
      <c r="W24" s="69" t="str">
        <f t="shared" si="10"/>
        <v>0.467</v>
      </c>
      <c r="X24" s="13"/>
      <c r="Y24" s="19"/>
      <c r="AA24" s="18"/>
      <c r="AB24" s="46" t="s">
        <v>29</v>
      </c>
      <c r="AC24" s="12"/>
      <c r="AD24" s="12"/>
      <c r="AE24" s="12"/>
      <c r="AF24" s="12"/>
      <c r="AG24" s="12"/>
      <c r="AH24" s="12"/>
      <c r="AI24" s="12"/>
      <c r="AJ24" s="12"/>
      <c r="AK24" s="19"/>
    </row>
    <row r="25" spans="1:37" ht="21.75" customHeight="1">
      <c r="A25" s="75"/>
      <c r="B25" s="76"/>
      <c r="C25" s="2">
        <v>45</v>
      </c>
      <c r="D25" s="2">
        <f t="shared" si="12"/>
        <v>63</v>
      </c>
      <c r="E25" s="32">
        <v>575</v>
      </c>
      <c r="F25" s="36">
        <v>0.381</v>
      </c>
      <c r="G25" s="36">
        <f t="shared" si="0"/>
        <v>0.108331</v>
      </c>
      <c r="H25" s="90">
        <f t="shared" si="1"/>
        <v>6.9</v>
      </c>
      <c r="I25" s="92">
        <f t="shared" si="2"/>
        <v>9.230968051619573</v>
      </c>
      <c r="J25" s="19"/>
      <c r="L25" s="18"/>
      <c r="M25" s="53">
        <f t="shared" si="3"/>
        <v>45</v>
      </c>
      <c r="N25" s="53">
        <f t="shared" si="6"/>
        <v>63</v>
      </c>
      <c r="O25" s="52" t="str">
        <f t="shared" si="4"/>
        <v>1.106</v>
      </c>
      <c r="P25" s="12"/>
      <c r="Q25" s="53">
        <f t="shared" si="5"/>
        <v>45</v>
      </c>
      <c r="R25" s="53">
        <f t="shared" si="5"/>
        <v>63</v>
      </c>
      <c r="S25" s="52" t="str">
        <f t="shared" si="7"/>
        <v>0.736</v>
      </c>
      <c r="T25" s="103">
        <f t="shared" si="11"/>
        <v>0.49989567394630685</v>
      </c>
      <c r="U25" s="67" t="str">
        <f t="shared" si="8"/>
        <v>0.50</v>
      </c>
      <c r="V25" s="68">
        <f t="shared" si="9"/>
        <v>15</v>
      </c>
      <c r="W25" s="69" t="str">
        <f t="shared" si="10"/>
        <v>0.368</v>
      </c>
      <c r="X25" s="13"/>
      <c r="Y25" s="19"/>
      <c r="AA25" s="18"/>
      <c r="AB25" s="46" t="str">
        <f>CONCATENATE("""",O1,"-EIR-fCHWT&amp;ECT"""," = CURVE-FIT")</f>
        <v>"VSD Chiller-EIR-fCHWT&amp;ECT" = CURVE-FIT</v>
      </c>
      <c r="AC25" s="12"/>
      <c r="AD25" s="12"/>
      <c r="AE25" s="12"/>
      <c r="AF25" s="12"/>
      <c r="AG25" s="12"/>
      <c r="AH25" s="12"/>
      <c r="AI25" s="12"/>
      <c r="AJ25" s="12"/>
      <c r="AK25" s="19"/>
    </row>
    <row r="26" spans="1:37" ht="21.75" customHeight="1">
      <c r="A26" s="75"/>
      <c r="B26" s="76"/>
      <c r="C26" s="2">
        <v>45</v>
      </c>
      <c r="D26" s="2">
        <f t="shared" si="12"/>
        <v>60</v>
      </c>
      <c r="E26" s="39">
        <v>575</v>
      </c>
      <c r="F26" s="35">
        <v>0.356</v>
      </c>
      <c r="G26" s="35">
        <f t="shared" si="0"/>
        <v>0.10122266666666667</v>
      </c>
      <c r="H26" s="90">
        <f t="shared" si="1"/>
        <v>6.9</v>
      </c>
      <c r="I26" s="92">
        <f t="shared" si="2"/>
        <v>9.879210190076003</v>
      </c>
      <c r="J26" s="19"/>
      <c r="L26" s="18"/>
      <c r="M26" s="53">
        <f t="shared" si="3"/>
        <v>45</v>
      </c>
      <c r="N26" s="53">
        <f t="shared" si="6"/>
        <v>60</v>
      </c>
      <c r="O26" s="52" t="str">
        <f t="shared" si="4"/>
        <v>1.106</v>
      </c>
      <c r="P26" s="12"/>
      <c r="Q26" s="53">
        <f t="shared" si="5"/>
        <v>45</v>
      </c>
      <c r="R26" s="53">
        <f t="shared" si="5"/>
        <v>60</v>
      </c>
      <c r="S26" s="52" t="str">
        <f t="shared" si="7"/>
        <v>0.687</v>
      </c>
      <c r="T26" s="103">
        <f t="shared" si="11"/>
        <v>0.3999165391570455</v>
      </c>
      <c r="U26" s="67" t="str">
        <f t="shared" si="8"/>
        <v>0.40</v>
      </c>
      <c r="V26" s="68">
        <f t="shared" si="9"/>
        <v>15</v>
      </c>
      <c r="W26" s="69" t="str">
        <f t="shared" si="10"/>
        <v>0.280</v>
      </c>
      <c r="X26" s="13"/>
      <c r="Y26" s="19"/>
      <c r="AA26" s="18"/>
      <c r="AB26" s="46" t="s">
        <v>34</v>
      </c>
      <c r="AC26" s="12"/>
      <c r="AD26" s="12"/>
      <c r="AE26" s="12"/>
      <c r="AF26" s="12"/>
      <c r="AG26" s="12"/>
      <c r="AH26" s="12"/>
      <c r="AI26" s="12"/>
      <c r="AJ26" s="12"/>
      <c r="AK26" s="19"/>
    </row>
    <row r="27" spans="1:37" ht="21.75" customHeight="1">
      <c r="A27" s="75"/>
      <c r="B27" s="76"/>
      <c r="C27" s="2">
        <v>45</v>
      </c>
      <c r="D27" s="2">
        <f t="shared" si="12"/>
        <v>57</v>
      </c>
      <c r="E27" s="32">
        <v>575</v>
      </c>
      <c r="F27" s="36">
        <v>0.332</v>
      </c>
      <c r="G27" s="36">
        <f t="shared" si="0"/>
        <v>0.09439866666666667</v>
      </c>
      <c r="H27" s="90">
        <f t="shared" si="1"/>
        <v>6.9</v>
      </c>
      <c r="I27" s="92">
        <f t="shared" si="2"/>
        <v>10.593369962852583</v>
      </c>
      <c r="J27" s="19"/>
      <c r="L27" s="18"/>
      <c r="M27" s="53">
        <f t="shared" si="3"/>
        <v>45</v>
      </c>
      <c r="N27" s="53">
        <f t="shared" si="6"/>
        <v>57</v>
      </c>
      <c r="O27" s="52" t="str">
        <f t="shared" si="4"/>
        <v>1.106</v>
      </c>
      <c r="P27" s="12"/>
      <c r="Q27" s="53">
        <f t="shared" si="5"/>
        <v>45</v>
      </c>
      <c r="R27" s="53">
        <f t="shared" si="5"/>
        <v>57</v>
      </c>
      <c r="S27" s="52" t="str">
        <f t="shared" si="7"/>
        <v>0.641</v>
      </c>
      <c r="T27" s="103">
        <f t="shared" si="11"/>
        <v>0.2999374043677841</v>
      </c>
      <c r="U27" s="67" t="str">
        <f t="shared" si="8"/>
        <v>0.30</v>
      </c>
      <c r="V27" s="68">
        <f t="shared" si="9"/>
        <v>15</v>
      </c>
      <c r="W27" s="69" t="str">
        <f t="shared" si="10"/>
        <v>0.205</v>
      </c>
      <c r="X27" s="13"/>
      <c r="Y27" s="19"/>
      <c r="AA27" s="18"/>
      <c r="AB27" s="46" t="s">
        <v>32</v>
      </c>
      <c r="AC27" s="12"/>
      <c r="AD27" s="12"/>
      <c r="AE27" s="12"/>
      <c r="AF27" s="12"/>
      <c r="AG27" s="12"/>
      <c r="AH27" s="12"/>
      <c r="AI27" s="12"/>
      <c r="AJ27" s="12"/>
      <c r="AK27" s="19"/>
    </row>
    <row r="28" spans="1:37" ht="21.75" customHeight="1">
      <c r="A28" s="75"/>
      <c r="B28" s="76"/>
      <c r="C28" s="2">
        <v>45</v>
      </c>
      <c r="D28" s="2">
        <v>55</v>
      </c>
      <c r="E28" s="32">
        <v>575</v>
      </c>
      <c r="F28" s="34">
        <v>0.317</v>
      </c>
      <c r="G28" s="34">
        <f t="shared" si="0"/>
        <v>0.09013366666666667</v>
      </c>
      <c r="H28" s="90">
        <f t="shared" si="1"/>
        <v>6.9</v>
      </c>
      <c r="I28" s="92">
        <f t="shared" si="2"/>
        <v>11.094633525763587</v>
      </c>
      <c r="J28" s="19"/>
      <c r="L28" s="18"/>
      <c r="M28" s="53">
        <f t="shared" si="3"/>
        <v>45</v>
      </c>
      <c r="N28" s="53">
        <f t="shared" si="6"/>
        <v>55</v>
      </c>
      <c r="O28" s="52" t="str">
        <f t="shared" si="4"/>
        <v>1.106</v>
      </c>
      <c r="P28" s="12"/>
      <c r="Q28" s="53">
        <f t="shared" si="5"/>
        <v>45</v>
      </c>
      <c r="R28" s="53">
        <f t="shared" si="5"/>
        <v>55</v>
      </c>
      <c r="S28" s="52" t="str">
        <f t="shared" si="7"/>
        <v>0.612</v>
      </c>
      <c r="T28" s="103">
        <f t="shared" si="11"/>
        <v>0.19995826957852275</v>
      </c>
      <c r="U28" s="67" t="str">
        <f t="shared" si="8"/>
        <v>0.20</v>
      </c>
      <c r="V28" s="68">
        <f t="shared" si="9"/>
        <v>15</v>
      </c>
      <c r="W28" s="69" t="str">
        <f t="shared" si="10"/>
        <v>0.145</v>
      </c>
      <c r="X28" s="13"/>
      <c r="Y28" s="19"/>
      <c r="AA28" s="18"/>
      <c r="AB28" s="46" t="str">
        <f>CONCATENATE("   INDEPENDENT-1    = ","("," ",Q15,", ",Q16,", ",Q17,", ",Q18,", ",Q19,", ",Q20,", ",Q21,", ",Q22,", ",Q23,", ",Q24,", ")</f>
        <v>   INDEPENDENT-1    = ( 42, 42, 42, 42, 42, 42, 45, 45, 45, 45, </v>
      </c>
      <c r="AC28" s="12"/>
      <c r="AD28" s="12"/>
      <c r="AE28" s="12"/>
      <c r="AF28" s="12"/>
      <c r="AG28" s="12"/>
      <c r="AH28" s="12"/>
      <c r="AI28" s="12"/>
      <c r="AJ28" s="12"/>
      <c r="AK28" s="19"/>
    </row>
    <row r="29" spans="1:37" ht="22.5" customHeight="1">
      <c r="A29" s="75"/>
      <c r="B29" s="76"/>
      <c r="C29" s="2">
        <v>48</v>
      </c>
      <c r="D29" s="2">
        <v>75</v>
      </c>
      <c r="E29" s="32">
        <v>575</v>
      </c>
      <c r="F29" s="34">
        <v>0.459</v>
      </c>
      <c r="G29" s="34">
        <f t="shared" si="0"/>
        <v>0.13050900000000001</v>
      </c>
      <c r="H29" s="90">
        <f t="shared" si="1"/>
        <v>6.9</v>
      </c>
      <c r="I29" s="92">
        <f t="shared" si="2"/>
        <v>7.662306814089449</v>
      </c>
      <c r="J29" s="19"/>
      <c r="L29" s="18"/>
      <c r="M29" s="53">
        <f t="shared" si="3"/>
        <v>48</v>
      </c>
      <c r="N29" s="53">
        <f t="shared" si="6"/>
        <v>75</v>
      </c>
      <c r="O29" s="52" t="str">
        <f t="shared" si="4"/>
        <v>1.106</v>
      </c>
      <c r="P29" s="12"/>
      <c r="Q29" s="53">
        <f t="shared" si="5"/>
        <v>48</v>
      </c>
      <c r="R29" s="53">
        <f t="shared" si="5"/>
        <v>75</v>
      </c>
      <c r="S29" s="52" t="str">
        <f t="shared" si="7"/>
        <v>0.886</v>
      </c>
      <c r="T29" s="103">
        <f>E54/($E$15*$O$26)</f>
        <v>0.09997913478926138</v>
      </c>
      <c r="U29" s="67" t="str">
        <f t="shared" si="8"/>
        <v>0.10</v>
      </c>
      <c r="V29" s="68">
        <f t="shared" si="9"/>
        <v>15</v>
      </c>
      <c r="W29" s="69" t="str">
        <f t="shared" si="10"/>
        <v>0.094</v>
      </c>
      <c r="X29" s="13"/>
      <c r="Y29" s="19"/>
      <c r="AA29" s="18"/>
      <c r="AB29" s="46" t="str">
        <f>CONCATENATE("                        ",Q25,", ",Q26,", ",Q27,", ",Q28,", ",Q29,", ",Q30,", ",Q31,", ",Q32,", ",Q33,", ",Q34," ",")")</f>
        <v>                        45, 45, 45, 45, 48, 48, 48, 48, 48, 48 )</v>
      </c>
      <c r="AC29" s="12"/>
      <c r="AD29" s="12"/>
      <c r="AE29" s="12"/>
      <c r="AF29" s="12"/>
      <c r="AG29" s="12"/>
      <c r="AH29" s="12"/>
      <c r="AI29" s="12"/>
      <c r="AJ29" s="12"/>
      <c r="AK29" s="19"/>
    </row>
    <row r="30" spans="1:37" ht="19.5" customHeight="1">
      <c r="A30" s="75"/>
      <c r="B30" s="76"/>
      <c r="C30" s="2">
        <v>48</v>
      </c>
      <c r="D30" s="2">
        <v>71</v>
      </c>
      <c r="E30" s="32">
        <v>575</v>
      </c>
      <c r="F30" s="36">
        <v>0.421</v>
      </c>
      <c r="G30" s="36">
        <f t="shared" si="0"/>
        <v>0.11970433333333332</v>
      </c>
      <c r="H30" s="90">
        <f t="shared" si="1"/>
        <v>6.9</v>
      </c>
      <c r="I30" s="92">
        <f t="shared" si="2"/>
        <v>8.353916455266171</v>
      </c>
      <c r="J30" s="19"/>
      <c r="L30" s="18"/>
      <c r="M30" s="53">
        <f t="shared" si="3"/>
        <v>48</v>
      </c>
      <c r="N30" s="53">
        <f t="shared" si="6"/>
        <v>71</v>
      </c>
      <c r="O30" s="52" t="str">
        <f t="shared" si="4"/>
        <v>1.106</v>
      </c>
      <c r="P30" s="12"/>
      <c r="Q30" s="53">
        <f t="shared" si="5"/>
        <v>48</v>
      </c>
      <c r="R30" s="53">
        <f t="shared" si="5"/>
        <v>71</v>
      </c>
      <c r="S30" s="52" t="str">
        <f t="shared" si="7"/>
        <v>0.813</v>
      </c>
      <c r="T30" s="103">
        <f>E55/($E$15*$O$34)</f>
        <v>0.9997913478926137</v>
      </c>
      <c r="U30" s="64" t="str">
        <f t="shared" si="8"/>
        <v>1.00</v>
      </c>
      <c r="V30" s="65">
        <f t="shared" si="9"/>
        <v>7</v>
      </c>
      <c r="W30" s="66" t="str">
        <f>TEXT(F55/$F$55,"0.000")</f>
        <v>1.000</v>
      </c>
      <c r="X30" s="85" t="s">
        <v>64</v>
      </c>
      <c r="Y30" s="19"/>
      <c r="AA30" s="18"/>
      <c r="AB30" s="46" t="str">
        <f>CONCATENATE("   INDEPENDENT-2    = ","("," ",R15,", ",R16,", ",R17,", ",R18,", ",R19,", ",R20,", ",R21,", ",R22,", ",R23,", ",R24,", ")</f>
        <v>   INDEPENDENT-2    = ( 75, 71, 67, 63, 59, 55, 75, 72, 69, 66, </v>
      </c>
      <c r="AC30" s="12"/>
      <c r="AD30" s="12"/>
      <c r="AE30" s="12"/>
      <c r="AF30" s="12"/>
      <c r="AG30" s="12"/>
      <c r="AH30" s="12"/>
      <c r="AI30" s="12"/>
      <c r="AJ30" s="12"/>
      <c r="AK30" s="19"/>
    </row>
    <row r="31" spans="1:37" ht="21.75" customHeight="1">
      <c r="A31" s="75"/>
      <c r="B31" s="76"/>
      <c r="C31" s="2">
        <v>48</v>
      </c>
      <c r="D31" s="2">
        <v>67</v>
      </c>
      <c r="E31" s="32">
        <v>575</v>
      </c>
      <c r="F31" s="34">
        <v>0.386</v>
      </c>
      <c r="G31" s="34">
        <f t="shared" si="0"/>
        <v>0.10975266666666667</v>
      </c>
      <c r="H31" s="90">
        <f t="shared" si="1"/>
        <v>6.9</v>
      </c>
      <c r="I31" s="92">
        <f t="shared" si="2"/>
        <v>9.111395926598595</v>
      </c>
      <c r="J31" s="19"/>
      <c r="L31" s="18"/>
      <c r="M31" s="53">
        <f t="shared" si="3"/>
        <v>48</v>
      </c>
      <c r="N31" s="53">
        <f t="shared" si="6"/>
        <v>67</v>
      </c>
      <c r="O31" s="52" t="str">
        <f t="shared" si="4"/>
        <v>1.106</v>
      </c>
      <c r="P31" s="12"/>
      <c r="Q31" s="53">
        <f t="shared" si="5"/>
        <v>48</v>
      </c>
      <c r="R31" s="53">
        <f t="shared" si="5"/>
        <v>67</v>
      </c>
      <c r="S31" s="52" t="str">
        <f t="shared" si="7"/>
        <v>0.745</v>
      </c>
      <c r="T31" s="103">
        <f>E56/($E$15*O31)</f>
        <v>0.6998539435248295</v>
      </c>
      <c r="U31" s="64" t="str">
        <f t="shared" si="8"/>
        <v>0.70</v>
      </c>
      <c r="V31" s="65">
        <f t="shared" si="9"/>
        <v>7</v>
      </c>
      <c r="W31" s="66" t="str">
        <f>TEXT(F56/$F$55,"0.000")</f>
        <v>0.578</v>
      </c>
      <c r="X31" s="13"/>
      <c r="Y31" s="19"/>
      <c r="AA31" s="18"/>
      <c r="AB31" s="46" t="str">
        <f>CONCATENATE("                        ",R25,", ",R26,", ",R27,", ",R28,", ",R29,", ",R30,", ",R31,", ",R32,", ",R33,", ",R34," ",")")</f>
        <v>                        63, 60, 57, 55, 75, 71, 67, 63, 59, 55 )</v>
      </c>
      <c r="AC31" s="12"/>
      <c r="AD31" s="12"/>
      <c r="AE31" s="12"/>
      <c r="AF31" s="12"/>
      <c r="AG31" s="12"/>
      <c r="AH31" s="12"/>
      <c r="AI31" s="12"/>
      <c r="AJ31" s="12"/>
      <c r="AK31" s="19"/>
    </row>
    <row r="32" spans="1:37" ht="21.75" customHeight="1">
      <c r="A32" s="75"/>
      <c r="B32" s="76"/>
      <c r="C32" s="2">
        <v>48</v>
      </c>
      <c r="D32" s="2">
        <v>63</v>
      </c>
      <c r="E32" s="32">
        <v>575</v>
      </c>
      <c r="F32" s="34">
        <v>0.352</v>
      </c>
      <c r="G32" s="34">
        <f t="shared" si="0"/>
        <v>0.10008533333333332</v>
      </c>
      <c r="H32" s="90">
        <f t="shared" si="1"/>
        <v>6.9</v>
      </c>
      <c r="I32" s="92">
        <f t="shared" si="2"/>
        <v>9.99147394223596</v>
      </c>
      <c r="J32" s="19"/>
      <c r="L32" s="18"/>
      <c r="M32" s="53">
        <f t="shared" si="3"/>
        <v>48</v>
      </c>
      <c r="N32" s="53">
        <f t="shared" si="6"/>
        <v>63</v>
      </c>
      <c r="O32" s="52" t="str">
        <f t="shared" si="4"/>
        <v>1.106</v>
      </c>
      <c r="P32" s="12"/>
      <c r="Q32" s="53">
        <f t="shared" si="5"/>
        <v>48</v>
      </c>
      <c r="R32" s="53">
        <f t="shared" si="5"/>
        <v>63</v>
      </c>
      <c r="S32" s="52" t="str">
        <f t="shared" si="7"/>
        <v>0.680</v>
      </c>
      <c r="T32" s="103">
        <f>E57/($E$15*O32)</f>
        <v>0.49989567394630685</v>
      </c>
      <c r="U32" s="64" t="str">
        <f t="shared" si="8"/>
        <v>0.50</v>
      </c>
      <c r="V32" s="65">
        <f t="shared" si="9"/>
        <v>7</v>
      </c>
      <c r="W32" s="66" t="str">
        <f>TEXT(F57/$F$55,"0.000")</f>
        <v>0.366</v>
      </c>
      <c r="X32" s="13"/>
      <c r="Y32" s="19"/>
      <c r="AA32" s="18"/>
      <c r="AB32" s="46" t="str">
        <f>CONCATENATE("   DEPENDENT        = ","("," ",S15,", ",S16,", ",S17,", ",S18,", ",S19,", ")</f>
        <v>   DEPENDENT        = ( 1.000, 0.915, 0.662, 0.651, 0.660, </v>
      </c>
      <c r="AC32" s="12"/>
      <c r="AD32" s="12"/>
      <c r="AE32" s="12"/>
      <c r="AF32" s="12"/>
      <c r="AG32" s="12"/>
      <c r="AH32" s="12"/>
      <c r="AI32" s="12"/>
      <c r="AJ32" s="12"/>
      <c r="AK32" s="19"/>
    </row>
    <row r="33" spans="1:37" ht="21.75" customHeight="1">
      <c r="A33" s="75"/>
      <c r="B33" s="76"/>
      <c r="C33" s="2">
        <v>48</v>
      </c>
      <c r="D33" s="2">
        <v>59</v>
      </c>
      <c r="E33" s="32">
        <v>575</v>
      </c>
      <c r="F33" s="34">
        <v>0.32</v>
      </c>
      <c r="G33" s="34">
        <f t="shared" si="0"/>
        <v>0.09098666666666666</v>
      </c>
      <c r="H33" s="90">
        <f t="shared" si="1"/>
        <v>6.9</v>
      </c>
      <c r="I33" s="92">
        <f t="shared" si="2"/>
        <v>10.990621336459554</v>
      </c>
      <c r="J33" s="19"/>
      <c r="L33" s="18"/>
      <c r="M33" s="53">
        <f t="shared" si="3"/>
        <v>48</v>
      </c>
      <c r="N33" s="53">
        <f t="shared" si="6"/>
        <v>59</v>
      </c>
      <c r="O33" s="52" t="str">
        <f t="shared" si="4"/>
        <v>1.106</v>
      </c>
      <c r="P33" s="12"/>
      <c r="Q33" s="53">
        <f t="shared" si="5"/>
        <v>48</v>
      </c>
      <c r="R33" s="53">
        <f t="shared" si="5"/>
        <v>59</v>
      </c>
      <c r="S33" s="52" t="str">
        <f t="shared" si="7"/>
        <v>0.618</v>
      </c>
      <c r="T33" s="103"/>
      <c r="U33" s="64"/>
      <c r="V33" s="65"/>
      <c r="W33" s="66"/>
      <c r="X33" s="13"/>
      <c r="Y33" s="19"/>
      <c r="AA33" s="18"/>
      <c r="AB33" s="46" t="str">
        <f>CONCATENATE("                        ",S20,", ",S21,", ",S22,", ",S23,", ",S24,", ")</f>
        <v>                        0.664, 0.950, 0.886, 0.836, 0.782, </v>
      </c>
      <c r="AC33" s="12"/>
      <c r="AD33" s="12"/>
      <c r="AE33" s="12"/>
      <c r="AF33" s="12"/>
      <c r="AG33" s="12"/>
      <c r="AH33" s="12"/>
      <c r="AI33" s="12"/>
      <c r="AJ33" s="12"/>
      <c r="AK33" s="19"/>
    </row>
    <row r="34" spans="1:37" ht="21.75" customHeight="1">
      <c r="A34" s="75"/>
      <c r="B34" s="76"/>
      <c r="C34" s="2">
        <v>48</v>
      </c>
      <c r="D34" s="2">
        <v>55</v>
      </c>
      <c r="E34" s="39">
        <v>575</v>
      </c>
      <c r="F34" s="35">
        <v>0.288</v>
      </c>
      <c r="G34" s="35">
        <f t="shared" si="0"/>
        <v>0.08188799999999999</v>
      </c>
      <c r="H34" s="95">
        <f>(F34*3.412)/12</f>
        <v>0.08188799999999999</v>
      </c>
      <c r="I34" s="92">
        <f t="shared" si="2"/>
        <v>12.211801484955062</v>
      </c>
      <c r="J34" s="19"/>
      <c r="L34" s="18"/>
      <c r="M34" s="53">
        <f t="shared" si="3"/>
        <v>48</v>
      </c>
      <c r="N34" s="53">
        <f t="shared" si="6"/>
        <v>55</v>
      </c>
      <c r="O34" s="52" t="str">
        <f t="shared" si="4"/>
        <v>1.106</v>
      </c>
      <c r="P34" s="12"/>
      <c r="Q34" s="53">
        <f t="shared" si="5"/>
        <v>48</v>
      </c>
      <c r="R34" s="53">
        <f t="shared" si="5"/>
        <v>55</v>
      </c>
      <c r="S34" s="52" t="str">
        <f t="shared" si="7"/>
        <v>0.556</v>
      </c>
      <c r="T34" s="103"/>
      <c r="U34" s="64"/>
      <c r="V34" s="65"/>
      <c r="W34" s="66"/>
      <c r="X34" s="13"/>
      <c r="Y34" s="19"/>
      <c r="AA34" s="18"/>
      <c r="AB34" s="46" t="str">
        <f>CONCATENATE("                        ",S25,", ",S26,", ",S27,", ",S28,", ",S29,", ")</f>
        <v>                        0.736, 0.687, 0.641, 0.612, 0.886, </v>
      </c>
      <c r="AC34" s="12"/>
      <c r="AD34" s="12"/>
      <c r="AE34" s="12"/>
      <c r="AF34" s="12"/>
      <c r="AG34" s="12"/>
      <c r="AH34" s="12"/>
      <c r="AI34" s="12"/>
      <c r="AJ34" s="12"/>
      <c r="AK34" s="19"/>
    </row>
    <row r="35" spans="1:37" ht="21.75" customHeight="1">
      <c r="A35" s="18"/>
      <c r="B35" s="12"/>
      <c r="D35" s="12"/>
      <c r="E35" s="25" t="s">
        <v>6</v>
      </c>
      <c r="H35" s="59"/>
      <c r="I35" s="12"/>
      <c r="J35" s="19"/>
      <c r="L35" s="18"/>
      <c r="M35" s="12"/>
      <c r="N35" s="12"/>
      <c r="O35" s="12"/>
      <c r="P35" s="12"/>
      <c r="Q35" s="12"/>
      <c r="R35" s="12"/>
      <c r="S35" s="12"/>
      <c r="T35" s="102"/>
      <c r="U35" s="13"/>
      <c r="V35" s="13"/>
      <c r="W35" s="13"/>
      <c r="X35" s="13"/>
      <c r="Y35" s="19"/>
      <c r="AA35" s="18"/>
      <c r="AB35" s="46" t="str">
        <f>CONCATENATE("                        ",S30,", ",S31,", ",S32,", ",S33,", ",S34," ) ")</f>
        <v>                        0.813, 0.745, 0.680, 0.618, 0.556 ) </v>
      </c>
      <c r="AC35" s="12"/>
      <c r="AD35" s="12"/>
      <c r="AE35" s="12"/>
      <c r="AF35" s="12"/>
      <c r="AG35" s="12"/>
      <c r="AH35" s="12"/>
      <c r="AI35" s="12"/>
      <c r="AJ35" s="12"/>
      <c r="AK35" s="19"/>
    </row>
    <row r="36" spans="1:37" ht="21.75" customHeight="1">
      <c r="A36" s="18"/>
      <c r="B36" s="12"/>
      <c r="D36" s="12"/>
      <c r="E36" s="25" t="s">
        <v>14</v>
      </c>
      <c r="H36" s="59"/>
      <c r="I36" s="12"/>
      <c r="J36" s="19"/>
      <c r="L36" s="18"/>
      <c r="N36" s="51"/>
      <c r="O36" s="51"/>
      <c r="P36" s="12"/>
      <c r="Q36" s="12"/>
      <c r="R36" s="12"/>
      <c r="S36" s="12"/>
      <c r="T36" s="104"/>
      <c r="U36" s="70"/>
      <c r="V36" s="70"/>
      <c r="W36" s="70"/>
      <c r="X36" s="13"/>
      <c r="Y36" s="19"/>
      <c r="AA36" s="18"/>
      <c r="AB36" s="46" t="s">
        <v>29</v>
      </c>
      <c r="AC36" s="12"/>
      <c r="AD36" s="12"/>
      <c r="AE36" s="12"/>
      <c r="AF36" s="12"/>
      <c r="AG36" s="12"/>
      <c r="AH36" s="12"/>
      <c r="AI36" s="12"/>
      <c r="AJ36" s="12"/>
      <c r="AK36" s="19"/>
    </row>
    <row r="37" spans="1:37" ht="21.75" customHeight="1">
      <c r="A37" s="18"/>
      <c r="F37" s="12"/>
      <c r="G37" s="12"/>
      <c r="H37" s="60"/>
      <c r="I37" s="12"/>
      <c r="J37" s="19"/>
      <c r="L37" s="18"/>
      <c r="M37" s="51"/>
      <c r="N37" s="51"/>
      <c r="O37" s="51"/>
      <c r="P37" s="44"/>
      <c r="Q37" s="12"/>
      <c r="R37" s="12"/>
      <c r="S37" s="12"/>
      <c r="T37" s="104"/>
      <c r="U37" s="70"/>
      <c r="V37" s="70"/>
      <c r="W37" s="70"/>
      <c r="X37" s="13"/>
      <c r="Y37" s="19"/>
      <c r="AA37" s="18"/>
      <c r="AB37" s="3" t="str">
        <f>CONCATENATE("""",O1,"-EIR-fPLR&amp;dT"""," = CURVE-FIT")</f>
        <v>"VSD Chiller-EIR-fPLR&amp;dT" = CURVE-FIT</v>
      </c>
      <c r="AC37" s="12"/>
      <c r="AD37" s="12"/>
      <c r="AE37" s="12"/>
      <c r="AF37" s="12"/>
      <c r="AG37" s="12"/>
      <c r="AH37" s="12"/>
      <c r="AI37" s="12"/>
      <c r="AJ37" s="12"/>
      <c r="AK37" s="19"/>
    </row>
    <row r="38" spans="1:37" ht="21.75" customHeight="1">
      <c r="A38" s="18"/>
      <c r="E38" s="31" t="s">
        <v>23</v>
      </c>
      <c r="F38" s="31"/>
      <c r="G38" s="31"/>
      <c r="H38" s="61"/>
      <c r="I38" s="13"/>
      <c r="J38" s="19"/>
      <c r="L38" s="18"/>
      <c r="M38" s="49"/>
      <c r="N38" s="49"/>
      <c r="O38" s="49"/>
      <c r="P38" s="12"/>
      <c r="T38" s="102"/>
      <c r="U38" s="54"/>
      <c r="V38" s="13"/>
      <c r="W38" s="13"/>
      <c r="X38" s="13"/>
      <c r="Y38" s="19"/>
      <c r="AA38" s="18"/>
      <c r="AB38" s="3" t="s">
        <v>33</v>
      </c>
      <c r="AC38" s="12"/>
      <c r="AD38" s="12"/>
      <c r="AE38" s="12"/>
      <c r="AF38" s="12"/>
      <c r="AG38" s="12"/>
      <c r="AH38" s="12"/>
      <c r="AI38" s="12"/>
      <c r="AJ38" s="12"/>
      <c r="AK38" s="19"/>
    </row>
    <row r="39" spans="1:37" ht="21.75" customHeight="1">
      <c r="A39" s="18"/>
      <c r="B39" s="14" t="s">
        <v>24</v>
      </c>
      <c r="E39" s="24" t="s">
        <v>66</v>
      </c>
      <c r="F39" s="63" t="s">
        <v>68</v>
      </c>
      <c r="I39" s="12"/>
      <c r="J39" s="26"/>
      <c r="K39" s="9"/>
      <c r="L39" s="50"/>
      <c r="M39" s="49"/>
      <c r="N39" s="49"/>
      <c r="O39" s="49"/>
      <c r="T39" s="102"/>
      <c r="U39" s="13"/>
      <c r="V39" s="13"/>
      <c r="W39" s="13"/>
      <c r="X39" s="13"/>
      <c r="Y39" s="19"/>
      <c r="AA39" s="18"/>
      <c r="AB39" s="3" t="s">
        <v>32</v>
      </c>
      <c r="AC39" s="12"/>
      <c r="AD39" s="12"/>
      <c r="AE39" s="12"/>
      <c r="AF39" s="12"/>
      <c r="AG39" s="12"/>
      <c r="AH39" s="12"/>
      <c r="AI39" s="12"/>
      <c r="AJ39" s="12"/>
      <c r="AK39" s="19"/>
    </row>
    <row r="40" spans="1:37" ht="21.75" customHeight="1">
      <c r="A40" s="18"/>
      <c r="B40" s="5">
        <v>1</v>
      </c>
      <c r="C40" s="2">
        <v>42</v>
      </c>
      <c r="D40" s="2">
        <v>75</v>
      </c>
      <c r="E40" s="41">
        <f>E15</f>
        <v>520</v>
      </c>
      <c r="F40" s="33">
        <f>E15*F15</f>
        <v>269.36</v>
      </c>
      <c r="G40" s="94" t="s">
        <v>69</v>
      </c>
      <c r="I40" s="77"/>
      <c r="J40" s="73"/>
      <c r="L40" s="18"/>
      <c r="M40" s="48"/>
      <c r="N40" s="47"/>
      <c r="T40" s="102"/>
      <c r="U40" s="13"/>
      <c r="V40" s="13"/>
      <c r="W40" s="13"/>
      <c r="X40" s="13"/>
      <c r="Y40" s="19"/>
      <c r="AA40" s="18"/>
      <c r="AB40" s="46" t="str">
        <f>CONCATENATE("   INDEPENDENT-1    = ","("," ",U15,", ",U16,", ",U17,", ",U18,", ",U19)</f>
        <v>   INDEPENDENT-1    = ( 1.00, 0.80, 0.60, 0.40, 0.15</v>
      </c>
      <c r="AC40" s="12"/>
      <c r="AD40" s="12"/>
      <c r="AE40" s="12"/>
      <c r="AF40" s="12"/>
      <c r="AG40" s="12"/>
      <c r="AH40" s="12"/>
      <c r="AI40" s="12"/>
      <c r="AJ40" s="12"/>
      <c r="AK40" s="19"/>
    </row>
    <row r="41" spans="1:37" ht="21.75" customHeight="1">
      <c r="A41" s="18"/>
      <c r="B41" s="5">
        <v>0.8</v>
      </c>
      <c r="C41" s="2">
        <v>42</v>
      </c>
      <c r="D41" s="2">
        <v>75</v>
      </c>
      <c r="E41" s="43">
        <f>B41*$E$40</f>
        <v>416</v>
      </c>
      <c r="F41" s="36">
        <v>183.04</v>
      </c>
      <c r="G41" s="31"/>
      <c r="H41" s="59"/>
      <c r="I41" s="77"/>
      <c r="J41" s="73"/>
      <c r="L41" s="18"/>
      <c r="N41" s="3" t="s">
        <v>59</v>
      </c>
      <c r="T41" s="102"/>
      <c r="U41" s="13"/>
      <c r="V41" s="13"/>
      <c r="W41" s="13"/>
      <c r="X41" s="13"/>
      <c r="Y41" s="19"/>
      <c r="AA41" s="18"/>
      <c r="AB41" s="46" t="str">
        <f>CONCATENATE("                        ",U20,", ",U21,", ",U22,", ",U23,", ",U24,", ")</f>
        <v>                        1.00, 0.90, 0.80, 0.70, 0.60, </v>
      </c>
      <c r="AC41" s="12"/>
      <c r="AD41" s="12"/>
      <c r="AE41" s="12"/>
      <c r="AF41" s="12"/>
      <c r="AG41" s="12"/>
      <c r="AH41" s="12"/>
      <c r="AI41" s="12"/>
      <c r="AJ41" s="12"/>
      <c r="AK41" s="19"/>
    </row>
    <row r="42" spans="1:37" ht="21.75" customHeight="1">
      <c r="A42" s="18"/>
      <c r="B42" s="5">
        <v>0.6</v>
      </c>
      <c r="C42" s="2">
        <v>42</v>
      </c>
      <c r="D42" s="2">
        <v>75</v>
      </c>
      <c r="E42" s="43">
        <f>B42*$E$40</f>
        <v>312</v>
      </c>
      <c r="F42" s="36">
        <v>115.752</v>
      </c>
      <c r="G42" s="31"/>
      <c r="H42" s="59"/>
      <c r="I42" s="77"/>
      <c r="J42" s="73"/>
      <c r="L42" s="18"/>
      <c r="N42" s="3" t="s">
        <v>62</v>
      </c>
      <c r="T42" s="102"/>
      <c r="U42" s="13"/>
      <c r="V42" s="13"/>
      <c r="W42" s="13"/>
      <c r="X42" s="13"/>
      <c r="Y42" s="19"/>
      <c r="AA42" s="18"/>
      <c r="AB42" s="46" t="str">
        <f>CONCATENATE("                        ",U25,", ",U26,", ",U27,", ",U28,", ",U29,", ")</f>
        <v>                        0.50, 0.40, 0.30, 0.20, 0.10, </v>
      </c>
      <c r="AC42" s="12"/>
      <c r="AD42" s="12"/>
      <c r="AE42" s="12"/>
      <c r="AF42" s="12"/>
      <c r="AG42" s="12"/>
      <c r="AH42" s="12"/>
      <c r="AI42" s="12"/>
      <c r="AJ42" s="12"/>
      <c r="AK42" s="19"/>
    </row>
    <row r="43" spans="1:37" ht="21.75" customHeight="1">
      <c r="A43" s="18"/>
      <c r="B43" s="5">
        <v>0.4</v>
      </c>
      <c r="C43" s="2">
        <v>42</v>
      </c>
      <c r="D43" s="2">
        <v>75</v>
      </c>
      <c r="E43" s="43">
        <f>B43*$E$40</f>
        <v>208</v>
      </c>
      <c r="F43" s="36">
        <v>63.44</v>
      </c>
      <c r="G43" s="31"/>
      <c r="H43" s="59"/>
      <c r="I43" s="77"/>
      <c r="J43" s="73"/>
      <c r="L43" s="18"/>
      <c r="N43" s="3" t="s">
        <v>31</v>
      </c>
      <c r="T43" s="102"/>
      <c r="U43" s="13"/>
      <c r="V43" s="13"/>
      <c r="W43" s="13"/>
      <c r="X43" s="13"/>
      <c r="Y43" s="19"/>
      <c r="AA43" s="18"/>
      <c r="AB43" s="46" t="str">
        <f>CONCATENATE("                        ",U30,", ",U31,", ",U32," ) ")</f>
        <v>                        1.00, 0.70, 0.50 ) </v>
      </c>
      <c r="AC43" s="12"/>
      <c r="AD43" s="12"/>
      <c r="AE43" s="12"/>
      <c r="AF43" s="12"/>
      <c r="AG43" s="12"/>
      <c r="AH43" s="12"/>
      <c r="AI43" s="12"/>
      <c r="AJ43" s="12"/>
      <c r="AK43" s="19"/>
    </row>
    <row r="44" spans="1:37" ht="21.75" customHeight="1">
      <c r="A44" s="18"/>
      <c r="B44" s="5">
        <v>0.15</v>
      </c>
      <c r="C44" s="2">
        <v>42</v>
      </c>
      <c r="D44" s="2">
        <v>75</v>
      </c>
      <c r="E44" s="43">
        <f>B44*$E$40</f>
        <v>78</v>
      </c>
      <c r="F44" s="36">
        <v>26.052000000000003</v>
      </c>
      <c r="G44" s="31"/>
      <c r="H44" s="59"/>
      <c r="I44" s="77"/>
      <c r="J44" s="73"/>
      <c r="L44" s="18"/>
      <c r="N44" s="3" t="s">
        <v>63</v>
      </c>
      <c r="T44" s="102"/>
      <c r="U44" s="13"/>
      <c r="V44" s="13"/>
      <c r="W44" s="13"/>
      <c r="X44" s="13"/>
      <c r="Y44" s="19"/>
      <c r="AA44" s="18"/>
      <c r="AB44" s="46" t="str">
        <f>CONCATENATE("   INDEPENDENT-2    = ","("," ",V15,", ",V16,", ",V17,", ",V18,", ",V19)</f>
        <v>   INDEPENDENT-2    = ( 33, 33, 33, 33, 33</v>
      </c>
      <c r="AC44" s="12"/>
      <c r="AD44" s="12"/>
      <c r="AE44" s="12"/>
      <c r="AF44" s="12"/>
      <c r="AG44" s="12"/>
      <c r="AH44" s="12"/>
      <c r="AI44" s="12"/>
      <c r="AJ44" s="12"/>
      <c r="AK44" s="19"/>
    </row>
    <row r="45" spans="1:37" ht="21.75" customHeight="1">
      <c r="A45" s="18"/>
      <c r="B45" s="5">
        <v>1</v>
      </c>
      <c r="C45" s="2">
        <v>45</v>
      </c>
      <c r="D45" s="2">
        <v>60</v>
      </c>
      <c r="E45" s="40">
        <f>E26</f>
        <v>575</v>
      </c>
      <c r="F45" s="35">
        <f>E26*F26</f>
        <v>204.7</v>
      </c>
      <c r="G45" s="94" t="s">
        <v>69</v>
      </c>
      <c r="H45" s="59"/>
      <c r="I45" s="77"/>
      <c r="J45" s="73"/>
      <c r="L45" s="18"/>
      <c r="N45" s="86" t="s">
        <v>58</v>
      </c>
      <c r="O45" s="38">
        <f>E15</f>
        <v>520</v>
      </c>
      <c r="P45" s="3" t="s">
        <v>30</v>
      </c>
      <c r="T45" s="102"/>
      <c r="U45" s="13"/>
      <c r="V45" s="13"/>
      <c r="W45" s="13"/>
      <c r="X45" s="13"/>
      <c r="Y45" s="19"/>
      <c r="AA45" s="18"/>
      <c r="AB45" s="46" t="str">
        <f>CONCATENATE("                        ",V20,", ",V21,", ",V22,", ",V23,", ",V24,", ")</f>
        <v>                        15, 15, 15, 15, 15, </v>
      </c>
      <c r="AC45" s="12"/>
      <c r="AD45" s="12"/>
      <c r="AE45" s="12"/>
      <c r="AF45" s="12"/>
      <c r="AG45" s="12"/>
      <c r="AH45" s="12"/>
      <c r="AI45" s="12"/>
      <c r="AJ45" s="12"/>
      <c r="AK45" s="19"/>
    </row>
    <row r="46" spans="1:37" ht="21.75" customHeight="1">
      <c r="A46" s="18"/>
      <c r="B46" s="5">
        <v>0.9</v>
      </c>
      <c r="C46" s="2">
        <v>45</v>
      </c>
      <c r="D46" s="2">
        <v>60</v>
      </c>
      <c r="E46" s="43">
        <f>B46*$E$45</f>
        <v>517.5</v>
      </c>
      <c r="F46" s="36">
        <v>171.29250000000002</v>
      </c>
      <c r="G46" s="31"/>
      <c r="H46" s="59"/>
      <c r="I46" s="77"/>
      <c r="J46" s="73"/>
      <c r="L46" s="18"/>
      <c r="N46" s="78" t="s">
        <v>61</v>
      </c>
      <c r="O46" s="33">
        <f>G15</f>
        <v>0.14728466666666667</v>
      </c>
      <c r="P46" s="3"/>
      <c r="T46" s="102"/>
      <c r="U46" s="13"/>
      <c r="V46" s="13"/>
      <c r="W46" s="13"/>
      <c r="X46" s="13"/>
      <c r="Y46" s="19"/>
      <c r="AA46" s="18"/>
      <c r="AB46" s="46" t="str">
        <f>CONCATENATE("                        ",V25,", ",V26,", ",V27,", ",V28,", ",V29,", ")</f>
        <v>                        15, 15, 15, 15, 15, </v>
      </c>
      <c r="AC46" s="12"/>
      <c r="AD46" s="12"/>
      <c r="AE46" s="12"/>
      <c r="AF46" s="12"/>
      <c r="AG46" s="12"/>
      <c r="AH46" s="12"/>
      <c r="AI46" s="12"/>
      <c r="AJ46" s="12"/>
      <c r="AK46" s="19"/>
    </row>
    <row r="47" spans="1:37" ht="21.75" customHeight="1">
      <c r="A47" s="18"/>
      <c r="B47" s="5">
        <v>0.8</v>
      </c>
      <c r="C47" s="2">
        <v>45</v>
      </c>
      <c r="D47" s="2">
        <v>60</v>
      </c>
      <c r="E47" s="43">
        <f aca="true" t="shared" si="13" ref="E47:E54">B47*$E$45</f>
        <v>460</v>
      </c>
      <c r="F47" s="36">
        <v>143.06</v>
      </c>
      <c r="G47" s="31"/>
      <c r="H47" s="59"/>
      <c r="I47" s="77"/>
      <c r="J47" s="73"/>
      <c r="L47" s="18"/>
      <c r="M47" s="45" t="s">
        <v>60</v>
      </c>
      <c r="N47" s="109" t="s">
        <v>28</v>
      </c>
      <c r="O47" s="109"/>
      <c r="P47" s="109"/>
      <c r="Q47" s="109"/>
      <c r="R47" s="109"/>
      <c r="S47" s="109"/>
      <c r="T47" s="105"/>
      <c r="U47" s="13"/>
      <c r="V47" s="13"/>
      <c r="W47" s="13"/>
      <c r="X47" s="62"/>
      <c r="Y47" s="19"/>
      <c r="AA47" s="18"/>
      <c r="AB47" s="46" t="str">
        <f>CONCATENATE("                        ",V30,", ",V31,", ",V32," ) ")</f>
        <v>                        7, 7, 7 ) </v>
      </c>
      <c r="AC47" s="12"/>
      <c r="AD47" s="12"/>
      <c r="AE47" s="12"/>
      <c r="AF47" s="12"/>
      <c r="AG47" s="12"/>
      <c r="AH47" s="12"/>
      <c r="AI47" s="12"/>
      <c r="AJ47" s="12"/>
      <c r="AK47" s="19"/>
    </row>
    <row r="48" spans="1:37" ht="21.75" customHeight="1">
      <c r="A48" s="18"/>
      <c r="B48" s="5">
        <v>0.7</v>
      </c>
      <c r="C48" s="2">
        <v>45</v>
      </c>
      <c r="D48" s="2">
        <v>60</v>
      </c>
      <c r="E48" s="43">
        <f t="shared" si="13"/>
        <v>402.5</v>
      </c>
      <c r="F48" s="36">
        <v>118.335</v>
      </c>
      <c r="G48" s="31"/>
      <c r="H48" s="59"/>
      <c r="I48" s="77"/>
      <c r="J48" s="73"/>
      <c r="L48" s="18"/>
      <c r="M48" s="45" t="s">
        <v>58</v>
      </c>
      <c r="N48" s="109" t="s">
        <v>27</v>
      </c>
      <c r="O48" s="109"/>
      <c r="P48" s="109"/>
      <c r="Q48" s="109"/>
      <c r="R48" s="109"/>
      <c r="S48" s="109"/>
      <c r="T48" s="105"/>
      <c r="U48" s="12"/>
      <c r="V48" s="12"/>
      <c r="W48" s="12"/>
      <c r="X48" s="62"/>
      <c r="Y48" s="19"/>
      <c r="AA48" s="18"/>
      <c r="AB48" s="46" t="str">
        <f>CONCATENATE("   DEPENDENT        = ","("," ",W15,", ",W16,", ",W17,", ",W18,", ",W19,", ")</f>
        <v>   DEPENDENT        = ( 1.000, 0.680, 0.430, 0.236, 0.097, </v>
      </c>
      <c r="AC48" s="12"/>
      <c r="AD48" s="12"/>
      <c r="AE48" s="12"/>
      <c r="AF48" s="12"/>
      <c r="AG48" s="12"/>
      <c r="AH48" s="12"/>
      <c r="AI48" s="12"/>
      <c r="AJ48" s="12"/>
      <c r="AK48" s="19"/>
    </row>
    <row r="49" spans="1:37" ht="21.75" customHeight="1">
      <c r="A49" s="18"/>
      <c r="B49" s="5">
        <v>0.6</v>
      </c>
      <c r="C49" s="2">
        <v>45</v>
      </c>
      <c r="D49" s="2">
        <v>60</v>
      </c>
      <c r="E49" s="43">
        <f t="shared" si="13"/>
        <v>345</v>
      </c>
      <c r="F49" s="36">
        <v>95.56500000000001</v>
      </c>
      <c r="G49" s="31"/>
      <c r="H49" s="59"/>
      <c r="I49" s="77"/>
      <c r="J49" s="73"/>
      <c r="L49" s="18"/>
      <c r="U49" s="12"/>
      <c r="V49" s="12"/>
      <c r="W49" s="12"/>
      <c r="Y49" s="19"/>
      <c r="AA49" s="18"/>
      <c r="AB49" s="46" t="str">
        <f>CONCATENATE("                        ",W20,", ",W21,", ",W22,", ",W23,", ",W24,", ")</f>
        <v>                        1.000, 0.837, 0.699, 0.578, 0.467, </v>
      </c>
      <c r="AC49" s="12"/>
      <c r="AD49" s="12"/>
      <c r="AE49" s="12"/>
      <c r="AF49" s="12"/>
      <c r="AG49" s="12"/>
      <c r="AH49" s="12"/>
      <c r="AI49" s="12"/>
      <c r="AJ49" s="12"/>
      <c r="AK49" s="19"/>
    </row>
    <row r="50" spans="1:37" ht="21.75" customHeight="1">
      <c r="A50" s="18"/>
      <c r="B50" s="5">
        <v>0.5</v>
      </c>
      <c r="C50" s="2">
        <v>45</v>
      </c>
      <c r="D50" s="2">
        <v>60</v>
      </c>
      <c r="E50" s="43">
        <f t="shared" si="13"/>
        <v>287.5</v>
      </c>
      <c r="F50" s="36">
        <v>75.325</v>
      </c>
      <c r="G50" s="31"/>
      <c r="H50" s="59"/>
      <c r="I50" s="77"/>
      <c r="J50" s="73"/>
      <c r="L50" s="18"/>
      <c r="M50" s="45"/>
      <c r="N50" s="62"/>
      <c r="O50" s="62"/>
      <c r="P50" s="62"/>
      <c r="Q50" s="62"/>
      <c r="R50" s="62"/>
      <c r="S50" s="62"/>
      <c r="T50" s="105"/>
      <c r="U50" s="12"/>
      <c r="V50" s="12"/>
      <c r="W50" s="12"/>
      <c r="X50" s="62"/>
      <c r="Y50" s="19"/>
      <c r="AA50" s="18"/>
      <c r="AB50" s="46" t="str">
        <f>CONCATENATE("                        ",W25,", ",W26,", ",W27,", ",W28,", ",W29,", ")</f>
        <v>                        0.368, 0.280, 0.205, 0.145, 0.094, </v>
      </c>
      <c r="AC50" s="12"/>
      <c r="AD50" s="12"/>
      <c r="AE50" s="12"/>
      <c r="AF50" s="12"/>
      <c r="AG50" s="12"/>
      <c r="AH50" s="12"/>
      <c r="AI50" s="12"/>
      <c r="AJ50" s="12"/>
      <c r="AK50" s="19"/>
    </row>
    <row r="51" spans="1:37" ht="21.75" customHeight="1">
      <c r="A51" s="18"/>
      <c r="B51" s="5">
        <v>0.4</v>
      </c>
      <c r="C51" s="2">
        <v>45</v>
      </c>
      <c r="D51" s="2">
        <v>60</v>
      </c>
      <c r="E51" s="43">
        <f t="shared" si="13"/>
        <v>230</v>
      </c>
      <c r="F51" s="36">
        <v>57.27</v>
      </c>
      <c r="G51" s="31"/>
      <c r="H51" s="59"/>
      <c r="I51" s="77"/>
      <c r="J51" s="73"/>
      <c r="L51" s="18"/>
      <c r="M51" s="45"/>
      <c r="N51" s="62"/>
      <c r="O51" s="62"/>
      <c r="P51" s="62"/>
      <c r="Q51" s="62"/>
      <c r="R51" s="62"/>
      <c r="S51" s="62"/>
      <c r="T51" s="105"/>
      <c r="U51" s="13"/>
      <c r="V51" s="13"/>
      <c r="W51" s="13"/>
      <c r="X51" s="62"/>
      <c r="Y51" s="19"/>
      <c r="AA51" s="18"/>
      <c r="AB51" s="46" t="str">
        <f>CONCATENATE("                        ",W30,", ",W31,", ",W32," ) ")</f>
        <v>                        1.000, 0.578, 0.366 ) </v>
      </c>
      <c r="AC51" s="12"/>
      <c r="AD51" s="12"/>
      <c r="AE51" s="12"/>
      <c r="AF51" s="12"/>
      <c r="AG51" s="12"/>
      <c r="AH51" s="12"/>
      <c r="AI51" s="12"/>
      <c r="AJ51" s="12"/>
      <c r="AK51" s="19"/>
    </row>
    <row r="52" spans="1:37" ht="21.75" customHeight="1" thickBot="1">
      <c r="A52" s="18"/>
      <c r="B52" s="5">
        <v>0.3</v>
      </c>
      <c r="C52" s="2">
        <v>45</v>
      </c>
      <c r="D52" s="2">
        <v>60</v>
      </c>
      <c r="E52" s="43">
        <f t="shared" si="13"/>
        <v>172.5</v>
      </c>
      <c r="F52" s="36">
        <v>41.9175</v>
      </c>
      <c r="G52" s="31"/>
      <c r="H52" s="59"/>
      <c r="I52" s="77"/>
      <c r="J52" s="73"/>
      <c r="L52" s="20"/>
      <c r="M52" s="21"/>
      <c r="N52" s="21"/>
      <c r="O52" s="21"/>
      <c r="P52" s="21"/>
      <c r="Q52" s="21"/>
      <c r="R52" s="21"/>
      <c r="S52" s="21"/>
      <c r="T52" s="106"/>
      <c r="U52" s="21"/>
      <c r="V52" s="21"/>
      <c r="W52" s="21"/>
      <c r="X52" s="21"/>
      <c r="Y52" s="22"/>
      <c r="AA52" s="18"/>
      <c r="AB52" s="46" t="s">
        <v>29</v>
      </c>
      <c r="AC52" s="12"/>
      <c r="AD52" s="12"/>
      <c r="AE52" s="12"/>
      <c r="AF52" s="12"/>
      <c r="AG52" s="12"/>
      <c r="AH52" s="12"/>
      <c r="AI52" s="12"/>
      <c r="AJ52" s="12"/>
      <c r="AK52" s="19"/>
    </row>
    <row r="53" spans="1:37" ht="21.75" customHeight="1">
      <c r="A53" s="18"/>
      <c r="B53" s="5">
        <v>0.2</v>
      </c>
      <c r="C53" s="2">
        <v>45</v>
      </c>
      <c r="D53" s="2">
        <v>60</v>
      </c>
      <c r="E53" s="43">
        <f t="shared" si="13"/>
        <v>115</v>
      </c>
      <c r="F53" s="36">
        <v>29.67</v>
      </c>
      <c r="G53" s="31"/>
      <c r="H53" s="59"/>
      <c r="I53" s="77"/>
      <c r="J53" s="73"/>
      <c r="AA53" s="18"/>
      <c r="AC53" s="12"/>
      <c r="AD53" s="12"/>
      <c r="AE53" s="12"/>
      <c r="AF53" s="12"/>
      <c r="AG53" s="12"/>
      <c r="AH53" s="12"/>
      <c r="AI53" s="12"/>
      <c r="AJ53" s="12"/>
      <c r="AK53" s="19"/>
    </row>
    <row r="54" spans="1:37" ht="21.75" customHeight="1">
      <c r="A54" s="18"/>
      <c r="B54" s="5">
        <v>0.1</v>
      </c>
      <c r="C54" s="2">
        <v>45</v>
      </c>
      <c r="D54" s="2">
        <v>60</v>
      </c>
      <c r="E54" s="43">
        <f t="shared" si="13"/>
        <v>57.5</v>
      </c>
      <c r="F54" s="36">
        <v>19.32</v>
      </c>
      <c r="G54" s="31"/>
      <c r="H54" s="59"/>
      <c r="I54" s="77"/>
      <c r="J54" s="73"/>
      <c r="AA54" s="18"/>
      <c r="AB54" s="46"/>
      <c r="AC54" s="12"/>
      <c r="AD54" s="12"/>
      <c r="AE54" s="12"/>
      <c r="AF54" s="12"/>
      <c r="AG54" s="12"/>
      <c r="AH54" s="12"/>
      <c r="AI54" s="12"/>
      <c r="AJ54" s="12"/>
      <c r="AK54" s="19"/>
    </row>
    <row r="55" spans="1:37" ht="21.75" customHeight="1">
      <c r="A55" s="18"/>
      <c r="B55" s="5">
        <v>1</v>
      </c>
      <c r="C55" s="2">
        <v>48</v>
      </c>
      <c r="D55" s="2">
        <v>55</v>
      </c>
      <c r="E55" s="40">
        <f>E34</f>
        <v>575</v>
      </c>
      <c r="F55" s="35">
        <v>165.6</v>
      </c>
      <c r="G55" s="94" t="s">
        <v>69</v>
      </c>
      <c r="H55" s="59"/>
      <c r="I55" s="77"/>
      <c r="J55" s="73"/>
      <c r="AA55" s="18"/>
      <c r="AC55" s="12"/>
      <c r="AD55" s="12"/>
      <c r="AE55" s="12"/>
      <c r="AF55" s="12"/>
      <c r="AG55" s="12"/>
      <c r="AH55" s="12"/>
      <c r="AI55" s="12"/>
      <c r="AJ55" s="12"/>
      <c r="AK55" s="19"/>
    </row>
    <row r="56" spans="1:37" ht="21.75" customHeight="1" thickBot="1">
      <c r="A56" s="18"/>
      <c r="B56" s="5">
        <v>0.7</v>
      </c>
      <c r="C56" s="2">
        <v>48</v>
      </c>
      <c r="D56" s="2">
        <v>55</v>
      </c>
      <c r="E56" s="43">
        <f>B56*$E$55</f>
        <v>402.5</v>
      </c>
      <c r="F56" s="36">
        <v>95.795</v>
      </c>
      <c r="H56" s="59"/>
      <c r="I56" s="77"/>
      <c r="J56" s="73"/>
      <c r="AA56" s="20"/>
      <c r="AB56" s="21"/>
      <c r="AC56" s="21"/>
      <c r="AD56" s="21"/>
      <c r="AE56" s="21"/>
      <c r="AF56" s="21"/>
      <c r="AG56" s="21"/>
      <c r="AH56" s="21"/>
      <c r="AI56" s="21"/>
      <c r="AJ56" s="21"/>
      <c r="AK56" s="22"/>
    </row>
    <row r="57" spans="1:10" ht="21.75" customHeight="1">
      <c r="A57" s="18"/>
      <c r="B57" s="5">
        <v>0.5</v>
      </c>
      <c r="C57" s="2">
        <v>48</v>
      </c>
      <c r="D57" s="2">
        <v>55</v>
      </c>
      <c r="E57" s="43">
        <f>B57*$E$55</f>
        <v>287.5</v>
      </c>
      <c r="F57" s="36">
        <v>60.6625</v>
      </c>
      <c r="H57" s="59"/>
      <c r="I57" s="77"/>
      <c r="J57" s="73"/>
    </row>
    <row r="58" spans="1:10" ht="21.75" customHeight="1">
      <c r="A58" s="18"/>
      <c r="B58" s="5">
        <v>0.3</v>
      </c>
      <c r="C58" s="2">
        <v>48</v>
      </c>
      <c r="D58" s="2">
        <v>55</v>
      </c>
      <c r="E58" s="43">
        <f>B58*$E$55</f>
        <v>172.5</v>
      </c>
      <c r="F58" s="96" t="s">
        <v>26</v>
      </c>
      <c r="H58" s="59"/>
      <c r="J58" s="73"/>
    </row>
    <row r="59" spans="1:10" ht="21.75" customHeight="1">
      <c r="A59" s="18"/>
      <c r="B59" s="5">
        <v>0.1</v>
      </c>
      <c r="C59" s="2">
        <v>48</v>
      </c>
      <c r="D59" s="2">
        <v>55</v>
      </c>
      <c r="E59" s="43">
        <f>B59*$E$55</f>
        <v>57.5</v>
      </c>
      <c r="F59" s="96" t="s">
        <v>26</v>
      </c>
      <c r="H59" s="59"/>
      <c r="J59" s="73"/>
    </row>
    <row r="60" spans="1:10" ht="21.75" customHeight="1">
      <c r="A60" s="18"/>
      <c r="E60" s="25" t="s">
        <v>6</v>
      </c>
      <c r="J60" s="19"/>
    </row>
    <row r="61" spans="1:10" ht="21.75" customHeight="1">
      <c r="A61" s="18"/>
      <c r="E61" s="25" t="s">
        <v>7</v>
      </c>
      <c r="J61" s="19"/>
    </row>
    <row r="62" spans="1:10" ht="21.75" customHeight="1" thickBot="1">
      <c r="A62" s="20"/>
      <c r="B62" s="27"/>
      <c r="C62" s="27"/>
      <c r="D62" s="27"/>
      <c r="E62" s="27"/>
      <c r="F62" s="27"/>
      <c r="G62" s="27"/>
      <c r="H62" s="27"/>
      <c r="I62" s="21"/>
      <c r="J62" s="22"/>
    </row>
  </sheetData>
  <sheetProtection/>
  <mergeCells count="4">
    <mergeCell ref="Q2:R2"/>
    <mergeCell ref="E13:F13"/>
    <mergeCell ref="N48:S48"/>
    <mergeCell ref="N47:S47"/>
  </mergeCells>
  <printOptions/>
  <pageMargins left="0.7" right="0.7" top="0.75" bottom="0.75" header="0.3" footer="0.3"/>
  <pageSetup fitToHeight="1" fitToWidth="1" horizontalDpi="600" verticalDpi="600" orientation="landscape" paperSize="17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2"/>
  <sheetViews>
    <sheetView zoomScale="70" zoomScaleNormal="70" zoomScalePageLayoutView="0" workbookViewId="0" topLeftCell="A13">
      <selection activeCell="N47" sqref="N47:W47"/>
    </sheetView>
  </sheetViews>
  <sheetFormatPr defaultColWidth="9.28125" defaultRowHeight="21.75" customHeight="1"/>
  <cols>
    <col min="1" max="1" width="9.28125" style="74" customWidth="1"/>
    <col min="2" max="2" width="22.28125" style="74" bestFit="1" customWidth="1"/>
    <col min="3" max="3" width="9.28125" style="74" customWidth="1"/>
    <col min="4" max="4" width="10.28125" style="74" customWidth="1"/>
    <col min="5" max="5" width="20.28125" style="74" bestFit="1" customWidth="1"/>
    <col min="6" max="6" width="15.28125" style="74" customWidth="1"/>
    <col min="7" max="7" width="16.8515625" style="74" customWidth="1"/>
    <col min="8" max="8" width="14.28125" style="74" customWidth="1"/>
    <col min="9" max="9" width="12.421875" style="74" customWidth="1"/>
    <col min="10" max="10" width="7.57421875" style="74" customWidth="1"/>
    <col min="11" max="11" width="9.28125" style="74" customWidth="1"/>
    <col min="12" max="12" width="5.7109375" style="74" customWidth="1"/>
    <col min="13" max="14" width="12.28125" style="74" customWidth="1"/>
    <col min="15" max="15" width="15.57421875" style="74" customWidth="1"/>
    <col min="16" max="16" width="18.7109375" style="74" customWidth="1"/>
    <col min="17" max="17" width="21.421875" style="74" customWidth="1"/>
    <col min="18" max="23" width="15.57421875" style="74" customWidth="1"/>
    <col min="24" max="24" width="52.28125" style="74" customWidth="1"/>
    <col min="25" max="25" width="15.57421875" style="74" customWidth="1"/>
    <col min="26" max="26" width="6.28125" style="74" customWidth="1"/>
    <col min="27" max="29" width="4.421875" style="74" customWidth="1"/>
    <col min="30" max="30" width="12.00390625" style="74" bestFit="1" customWidth="1"/>
    <col min="31" max="32" width="10.7109375" style="74" bestFit="1" customWidth="1"/>
    <col min="33" max="16384" width="9.28125" style="74" customWidth="1"/>
  </cols>
  <sheetData>
    <row r="1" spans="14:15" ht="21.75" customHeight="1">
      <c r="N1" s="29" t="s">
        <v>22</v>
      </c>
      <c r="O1" s="28" t="s">
        <v>54</v>
      </c>
    </row>
    <row r="2" spans="7:28" ht="21.75" customHeight="1">
      <c r="G2" s="4" t="s">
        <v>5</v>
      </c>
      <c r="Q2" s="107" t="s">
        <v>21</v>
      </c>
      <c r="R2" s="107"/>
      <c r="S2" s="3"/>
      <c r="T2" s="3"/>
      <c r="U2" s="3"/>
      <c r="V2" s="3"/>
      <c r="W2" s="3"/>
      <c r="X2" s="3"/>
      <c r="Y2" s="3"/>
      <c r="Z2" s="3"/>
      <c r="AA2" s="3"/>
      <c r="AB2" s="3"/>
    </row>
    <row r="3" spans="7:28" ht="21.75" customHeight="1">
      <c r="G3" s="6" t="s">
        <v>2</v>
      </c>
      <c r="M3" s="74" t="s">
        <v>51</v>
      </c>
      <c r="O3" s="12" t="s">
        <v>17</v>
      </c>
      <c r="P3" s="30" t="s">
        <v>18</v>
      </c>
      <c r="Q3" s="74" t="s">
        <v>19</v>
      </c>
      <c r="R3" s="74" t="s">
        <v>20</v>
      </c>
      <c r="S3" s="3"/>
      <c r="T3" s="3"/>
      <c r="U3" s="3"/>
      <c r="V3" s="3"/>
      <c r="W3" s="3"/>
      <c r="X3" s="3"/>
      <c r="Y3" s="3"/>
      <c r="Z3" s="3"/>
      <c r="AA3" s="3"/>
      <c r="AB3" s="3"/>
    </row>
    <row r="4" spans="6:28" ht="21.75" customHeight="1">
      <c r="F4" s="58"/>
      <c r="G4" s="10" t="s">
        <v>3</v>
      </c>
      <c r="H4" s="11"/>
      <c r="I4" s="11"/>
      <c r="J4" s="11"/>
      <c r="K4" s="11"/>
      <c r="L4" s="11"/>
      <c r="M4" s="71">
        <f>O4/E15</f>
        <v>2.1952830188679244</v>
      </c>
      <c r="N4" s="1" t="s">
        <v>8</v>
      </c>
      <c r="O4" s="1">
        <v>1163.5</v>
      </c>
      <c r="P4" s="1">
        <v>15.7</v>
      </c>
      <c r="Q4" s="1">
        <v>75</v>
      </c>
      <c r="R4" s="1">
        <v>55</v>
      </c>
      <c r="S4" s="3"/>
      <c r="T4" s="3"/>
      <c r="U4" s="3"/>
      <c r="V4" s="3"/>
      <c r="W4" s="3"/>
      <c r="X4" s="3"/>
      <c r="Y4" s="3"/>
      <c r="Z4" s="3"/>
      <c r="AA4" s="3"/>
      <c r="AB4" s="3"/>
    </row>
    <row r="5" spans="6:28" ht="21.75" customHeight="1">
      <c r="F5" s="42"/>
      <c r="G5" s="10" t="s">
        <v>13</v>
      </c>
      <c r="H5" s="11"/>
      <c r="I5" s="11"/>
      <c r="J5" s="11"/>
      <c r="K5" s="11"/>
      <c r="L5" s="72" t="s">
        <v>52</v>
      </c>
      <c r="M5" s="71">
        <f>(E15*12000)/(500*O5)</f>
        <v>17.508602890571233</v>
      </c>
      <c r="N5" s="1" t="s">
        <v>9</v>
      </c>
      <c r="O5" s="1">
        <v>726.5</v>
      </c>
      <c r="P5" s="1">
        <v>11.6</v>
      </c>
      <c r="Q5" s="1">
        <v>48</v>
      </c>
      <c r="R5" s="1">
        <v>42</v>
      </c>
      <c r="S5" s="3"/>
      <c r="T5" s="3"/>
      <c r="U5" s="3"/>
      <c r="V5" s="3"/>
      <c r="W5" s="3"/>
      <c r="X5" s="3"/>
      <c r="Y5" s="3"/>
      <c r="Z5" s="3"/>
      <c r="AA5" s="3"/>
      <c r="AB5" s="3"/>
    </row>
    <row r="6" spans="6:18" ht="21.75" customHeight="1">
      <c r="F6" s="7"/>
      <c r="G6" s="10" t="s">
        <v>4</v>
      </c>
      <c r="H6" s="11"/>
      <c r="I6" s="11"/>
      <c r="J6" s="11"/>
      <c r="K6" s="11"/>
      <c r="L6" s="11"/>
      <c r="M6" s="11"/>
      <c r="N6" s="3"/>
      <c r="O6" s="79" t="s">
        <v>10</v>
      </c>
      <c r="P6" s="74">
        <v>50</v>
      </c>
      <c r="Q6" s="3" t="s">
        <v>11</v>
      </c>
      <c r="R6" s="3"/>
    </row>
    <row r="7" spans="5:28" ht="21.75" customHeight="1">
      <c r="E7" s="39"/>
      <c r="F7" s="35"/>
      <c r="G7" s="83" t="s">
        <v>56</v>
      </c>
      <c r="H7" s="8"/>
      <c r="I7" s="8"/>
      <c r="J7" s="8"/>
      <c r="K7" s="8"/>
      <c r="L7" s="8"/>
      <c r="M7" s="8"/>
      <c r="O7" s="79" t="s">
        <v>10</v>
      </c>
      <c r="P7" s="74">
        <v>75</v>
      </c>
      <c r="Q7" s="3" t="s">
        <v>12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6:28" ht="21.75" customHeight="1">
      <c r="F8" s="41"/>
      <c r="G8" s="83" t="s">
        <v>57</v>
      </c>
      <c r="H8" s="8"/>
      <c r="I8" s="8"/>
      <c r="J8" s="8"/>
      <c r="K8" s="8"/>
      <c r="L8" s="8"/>
      <c r="M8" s="8"/>
      <c r="N8" s="8"/>
      <c r="O8" s="79" t="s">
        <v>48</v>
      </c>
      <c r="P8" s="81">
        <v>0.09433962264150944</v>
      </c>
      <c r="Q8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6:29" ht="21.75" customHeight="1">
      <c r="F9" s="33"/>
      <c r="G9" s="83" t="s">
        <v>70</v>
      </c>
      <c r="H9" s="8"/>
      <c r="I9" s="8"/>
      <c r="J9" s="8"/>
      <c r="K9" s="8"/>
      <c r="L9" s="8"/>
      <c r="M9" s="8"/>
      <c r="N9" s="8"/>
      <c r="O9" s="80" t="s">
        <v>49</v>
      </c>
      <c r="P9" s="82">
        <v>0.14150943396226415</v>
      </c>
      <c r="Q9" s="8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9"/>
    </row>
    <row r="10" spans="5:36" ht="21.75" customHeight="1" thickBot="1">
      <c r="E10" s="37" t="s">
        <v>15</v>
      </c>
      <c r="F10" s="37"/>
      <c r="G10" s="37"/>
      <c r="H10" s="37"/>
      <c r="I10" s="37"/>
      <c r="J10" s="8"/>
      <c r="K10" s="37"/>
      <c r="L10" s="8"/>
      <c r="M10" s="57" t="s">
        <v>47</v>
      </c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3"/>
      <c r="Z10" s="57"/>
      <c r="AA10" s="3"/>
      <c r="AB10" s="37" t="s">
        <v>46</v>
      </c>
      <c r="AC10" s="37"/>
      <c r="AD10" s="37"/>
      <c r="AE10" s="37"/>
      <c r="AF10" s="37"/>
      <c r="AG10" s="37"/>
      <c r="AH10" s="37"/>
      <c r="AI10" s="37"/>
      <c r="AJ10" s="37"/>
    </row>
    <row r="11" spans="1:37" ht="21.75" customHeight="1">
      <c r="A11" s="15"/>
      <c r="B11" s="16"/>
      <c r="C11" s="16"/>
      <c r="D11" s="16"/>
      <c r="E11" s="16"/>
      <c r="F11" s="16"/>
      <c r="G11" s="16"/>
      <c r="H11" s="23"/>
      <c r="I11" s="16"/>
      <c r="J11" s="17"/>
      <c r="L11" s="15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7"/>
      <c r="Z11" s="3"/>
      <c r="AA11" s="15"/>
      <c r="AB11" s="16"/>
      <c r="AC11" s="16"/>
      <c r="AD11" s="16"/>
      <c r="AE11" s="16"/>
      <c r="AF11" s="16"/>
      <c r="AG11" s="16"/>
      <c r="AH11" s="16"/>
      <c r="AI11" s="16"/>
      <c r="AJ11" s="16"/>
      <c r="AK11" s="17"/>
    </row>
    <row r="12" spans="1:37" ht="21.75" customHeight="1">
      <c r="A12" s="18"/>
      <c r="F12" s="12"/>
      <c r="G12" s="12"/>
      <c r="H12" s="12"/>
      <c r="I12" s="12"/>
      <c r="J12" s="19"/>
      <c r="L12" s="18"/>
      <c r="M12" s="55" t="s">
        <v>45</v>
      </c>
      <c r="N12" s="12"/>
      <c r="O12" s="12"/>
      <c r="P12" s="12"/>
      <c r="Q12" s="55" t="s">
        <v>44</v>
      </c>
      <c r="R12" s="12"/>
      <c r="S12" s="12"/>
      <c r="T12" s="12"/>
      <c r="U12" s="55" t="s">
        <v>43</v>
      </c>
      <c r="V12" s="12"/>
      <c r="W12" s="12"/>
      <c r="X12" s="12"/>
      <c r="Y12" s="19"/>
      <c r="AA12" s="18"/>
      <c r="AB12" s="12"/>
      <c r="AC12" s="12"/>
      <c r="AD12" s="12"/>
      <c r="AE12" s="12"/>
      <c r="AF12" s="12"/>
      <c r="AG12" s="12"/>
      <c r="AH12" s="12"/>
      <c r="AI12" s="12"/>
      <c r="AJ12" s="12"/>
      <c r="AK12" s="19"/>
    </row>
    <row r="13" spans="1:37" ht="21.75" customHeight="1">
      <c r="A13" s="18"/>
      <c r="C13" s="31"/>
      <c r="D13" s="31"/>
      <c r="E13" s="108" t="s">
        <v>1</v>
      </c>
      <c r="F13" s="108"/>
      <c r="G13" s="44"/>
      <c r="H13" s="31"/>
      <c r="J13" s="19"/>
      <c r="L13" s="18"/>
      <c r="M13" s="13" t="s">
        <v>42</v>
      </c>
      <c r="N13" s="13" t="s">
        <v>41</v>
      </c>
      <c r="O13" s="13" t="s">
        <v>40</v>
      </c>
      <c r="P13" s="12"/>
      <c r="Q13" s="13" t="s">
        <v>42</v>
      </c>
      <c r="R13" s="13" t="s">
        <v>41</v>
      </c>
      <c r="S13" s="13" t="s">
        <v>40</v>
      </c>
      <c r="T13" s="13"/>
      <c r="U13" s="13" t="s">
        <v>42</v>
      </c>
      <c r="V13" s="13" t="s">
        <v>41</v>
      </c>
      <c r="W13" s="13" t="s">
        <v>40</v>
      </c>
      <c r="X13" s="13"/>
      <c r="Y13" s="19"/>
      <c r="AA13" s="18"/>
      <c r="AB13" s="46" t="str">
        <f>CONCATENATE("""",O1,"-CAP-fCHWT&amp;ECT"""," = CURVE-FIT")</f>
        <v>"Constant Speed-CAP-fCHWT&amp;ECT" = CURVE-FIT</v>
      </c>
      <c r="AC13" s="12"/>
      <c r="AD13" s="12"/>
      <c r="AE13" s="12"/>
      <c r="AF13" s="12"/>
      <c r="AG13" s="12"/>
      <c r="AH13" s="12"/>
      <c r="AI13" s="12"/>
      <c r="AJ13" s="12"/>
      <c r="AK13" s="19"/>
    </row>
    <row r="14" spans="1:37" ht="21.75" customHeight="1">
      <c r="A14" s="18"/>
      <c r="C14" s="14" t="s">
        <v>0</v>
      </c>
      <c r="D14" s="14" t="s">
        <v>16</v>
      </c>
      <c r="E14" s="24" t="s">
        <v>65</v>
      </c>
      <c r="F14" s="63" t="s">
        <v>25</v>
      </c>
      <c r="G14" s="63" t="s">
        <v>67</v>
      </c>
      <c r="H14" s="90" t="s">
        <v>50</v>
      </c>
      <c r="I14" s="91" t="s">
        <v>53</v>
      </c>
      <c r="J14" s="19"/>
      <c r="L14" s="18"/>
      <c r="M14" s="14" t="s">
        <v>0</v>
      </c>
      <c r="N14" s="14" t="s">
        <v>16</v>
      </c>
      <c r="O14" s="14" t="s">
        <v>39</v>
      </c>
      <c r="P14" s="12"/>
      <c r="Q14" s="14" t="s">
        <v>0</v>
      </c>
      <c r="R14" s="14" t="s">
        <v>16</v>
      </c>
      <c r="S14" s="14" t="s">
        <v>38</v>
      </c>
      <c r="T14" s="13"/>
      <c r="U14" s="14" t="s">
        <v>37</v>
      </c>
      <c r="V14" s="14" t="s">
        <v>36</v>
      </c>
      <c r="W14" s="14" t="s">
        <v>35</v>
      </c>
      <c r="X14" s="13"/>
      <c r="Y14" s="19"/>
      <c r="AA14" s="18"/>
      <c r="AB14" s="46" t="s">
        <v>34</v>
      </c>
      <c r="AC14" s="12"/>
      <c r="AD14" s="12"/>
      <c r="AE14" s="12"/>
      <c r="AF14" s="12"/>
      <c r="AG14" s="12"/>
      <c r="AH14" s="12"/>
      <c r="AI14" s="12"/>
      <c r="AJ14" s="12"/>
      <c r="AK14" s="19"/>
    </row>
    <row r="15" spans="1:37" ht="21.75" customHeight="1">
      <c r="A15" s="75"/>
      <c r="B15" s="76"/>
      <c r="C15" s="2">
        <v>42</v>
      </c>
      <c r="D15" s="2">
        <v>75</v>
      </c>
      <c r="E15" s="38">
        <v>530</v>
      </c>
      <c r="F15" s="33">
        <v>0.535</v>
      </c>
      <c r="G15" s="87">
        <f aca="true" t="shared" si="0" ref="G15:G34">(F15*3.412)/12</f>
        <v>0.15211833333333333</v>
      </c>
      <c r="H15" s="90">
        <f>(E15*12000)/1000000</f>
        <v>6.36</v>
      </c>
      <c r="I15" s="92">
        <f>12/(F15*3.412)</f>
        <v>6.573829584424407</v>
      </c>
      <c r="J15" s="19"/>
      <c r="L15" s="18"/>
      <c r="M15" s="53">
        <f aca="true" t="shared" si="1" ref="M15:N34">C15</f>
        <v>42</v>
      </c>
      <c r="N15" s="53">
        <f t="shared" si="1"/>
        <v>75</v>
      </c>
      <c r="O15" s="52" t="str">
        <f>TEXT((E15/$E$15),"0.000")</f>
        <v>1.000</v>
      </c>
      <c r="P15" s="12"/>
      <c r="Q15" s="53">
        <f aca="true" t="shared" si="2" ref="Q15:R34">M15</f>
        <v>42</v>
      </c>
      <c r="R15" s="53">
        <f t="shared" si="2"/>
        <v>75</v>
      </c>
      <c r="S15" s="52" t="str">
        <f>TEXT(G15/$G$15,"0.000")</f>
        <v>1.000</v>
      </c>
      <c r="T15" s="13"/>
      <c r="U15" s="56" t="str">
        <f>TEXT(B40,"0.00")</f>
        <v>1.00</v>
      </c>
      <c r="V15" s="53">
        <f>D40-C40</f>
        <v>33</v>
      </c>
      <c r="W15" s="52" t="str">
        <f>TEXT(F40/$F$40,"0.000")</f>
        <v>1.000</v>
      </c>
      <c r="X15" s="13"/>
      <c r="Y15" s="19"/>
      <c r="AA15" s="18"/>
      <c r="AB15" s="46" t="s">
        <v>32</v>
      </c>
      <c r="AC15" s="12"/>
      <c r="AD15" s="12"/>
      <c r="AE15" s="12"/>
      <c r="AF15" s="12"/>
      <c r="AG15" s="12"/>
      <c r="AH15" s="12"/>
      <c r="AI15" s="12"/>
      <c r="AJ15" s="12"/>
      <c r="AK15" s="19"/>
    </row>
    <row r="16" spans="1:37" ht="21.75" customHeight="1">
      <c r="A16" s="75"/>
      <c r="B16" s="76"/>
      <c r="C16" s="2">
        <v>42</v>
      </c>
      <c r="D16" s="2">
        <v>71</v>
      </c>
      <c r="E16" s="32">
        <v>545</v>
      </c>
      <c r="F16" s="34">
        <v>0.52</v>
      </c>
      <c r="G16" s="89">
        <f t="shared" si="0"/>
        <v>0.14785333333333334</v>
      </c>
      <c r="H16" s="90">
        <f aca="true" t="shared" si="3" ref="H16:H34">(E16*12000)/1000000</f>
        <v>6.54</v>
      </c>
      <c r="I16" s="92">
        <f aca="true" t="shared" si="4" ref="I16:I34">12/(F16*3.412)</f>
        <v>6.76345928397511</v>
      </c>
      <c r="J16" s="19"/>
      <c r="L16" s="18"/>
      <c r="M16" s="53">
        <f t="shared" si="1"/>
        <v>42</v>
      </c>
      <c r="N16" s="53">
        <f t="shared" si="1"/>
        <v>71</v>
      </c>
      <c r="O16" s="52" t="str">
        <f aca="true" t="shared" si="5" ref="O16:O34">TEXT((E16/$E$15),"0.000")</f>
        <v>1.028</v>
      </c>
      <c r="P16" s="12"/>
      <c r="Q16" s="53">
        <f t="shared" si="2"/>
        <v>42</v>
      </c>
      <c r="R16" s="53">
        <f t="shared" si="2"/>
        <v>71</v>
      </c>
      <c r="S16" s="52" t="str">
        <f aca="true" t="shared" si="6" ref="S16:S33">TEXT(G16/$G$15,"0.000")</f>
        <v>0.972</v>
      </c>
      <c r="T16" s="13"/>
      <c r="U16" s="56" t="str">
        <f aca="true" t="shared" si="7" ref="U16:U30">TEXT(B41,"0.00")</f>
        <v>0.80</v>
      </c>
      <c r="V16" s="53">
        <f aca="true" t="shared" si="8" ref="V16:V30">D41-C41</f>
        <v>33</v>
      </c>
      <c r="W16" s="52" t="str">
        <f>TEXT(F41/$F$40,"0.000")</f>
        <v>0.769</v>
      </c>
      <c r="X16" s="13"/>
      <c r="Y16" s="19"/>
      <c r="AA16" s="18"/>
      <c r="AB16" s="46" t="str">
        <f>CONCATENATE("   INDEPENDENT-1    = ","("," ",M15,", ",M16,", ",M17,", ",M18,", ",M19,", ",M20,", ",M21,", ",M22,", ",M23,", ",M24,", ")</f>
        <v>   INDEPENDENT-1    = ( 42, 42, 42, 42, 42, 42, 45, 45, 45, 45, </v>
      </c>
      <c r="AC16" s="12"/>
      <c r="AD16" s="12"/>
      <c r="AE16" s="12"/>
      <c r="AF16" s="12"/>
      <c r="AG16" s="12"/>
      <c r="AH16" s="12"/>
      <c r="AI16" s="12"/>
      <c r="AJ16" s="12"/>
      <c r="AK16" s="19"/>
    </row>
    <row r="17" spans="1:37" ht="21.75" customHeight="1">
      <c r="A17" s="75"/>
      <c r="B17" s="76"/>
      <c r="C17" s="2">
        <v>42</v>
      </c>
      <c r="D17" s="2">
        <v>67</v>
      </c>
      <c r="E17" s="32">
        <v>565</v>
      </c>
      <c r="F17" s="34">
        <v>0.501</v>
      </c>
      <c r="G17" s="89">
        <f t="shared" si="0"/>
        <v>0.142451</v>
      </c>
      <c r="H17" s="90">
        <f t="shared" si="3"/>
        <v>6.78</v>
      </c>
      <c r="I17" s="92">
        <f t="shared" si="4"/>
        <v>7.019957739854406</v>
      </c>
      <c r="J17" s="19"/>
      <c r="L17" s="18"/>
      <c r="M17" s="53">
        <f t="shared" si="1"/>
        <v>42</v>
      </c>
      <c r="N17" s="53">
        <f t="shared" si="1"/>
        <v>67</v>
      </c>
      <c r="O17" s="52" t="str">
        <f t="shared" si="5"/>
        <v>1.066</v>
      </c>
      <c r="P17" s="12"/>
      <c r="Q17" s="53">
        <f t="shared" si="2"/>
        <v>42</v>
      </c>
      <c r="R17" s="53">
        <f t="shared" si="2"/>
        <v>67</v>
      </c>
      <c r="S17" s="52" t="str">
        <f t="shared" si="6"/>
        <v>0.936</v>
      </c>
      <c r="T17" s="13"/>
      <c r="U17" s="56" t="str">
        <f t="shared" si="7"/>
        <v>0.60</v>
      </c>
      <c r="V17" s="53">
        <f t="shared" si="8"/>
        <v>33</v>
      </c>
      <c r="W17" s="52" t="str">
        <f>TEXT(F42/$F$40,"0.000")</f>
        <v>0.640</v>
      </c>
      <c r="X17" s="13"/>
      <c r="Y17" s="19"/>
      <c r="AA17" s="18"/>
      <c r="AB17" s="46" t="str">
        <f>CONCATENATE("                        ",M25,", ",M26,", ",M27,", ",M28,", ",M29,", ",M30,", ",M31,", ",M32,", ",M33,", ",M34," ",")")</f>
        <v>                        45, 45, 45, 45, 48, 48, 48, 48, 48, 48 )</v>
      </c>
      <c r="AC17" s="12"/>
      <c r="AD17" s="12"/>
      <c r="AE17" s="12"/>
      <c r="AF17" s="12"/>
      <c r="AG17" s="12"/>
      <c r="AH17" s="12"/>
      <c r="AI17" s="12"/>
      <c r="AJ17" s="12"/>
      <c r="AK17" s="19"/>
    </row>
    <row r="18" spans="1:37" ht="21.75" customHeight="1">
      <c r="A18" s="75"/>
      <c r="B18" s="76"/>
      <c r="C18" s="2">
        <v>42</v>
      </c>
      <c r="D18" s="2">
        <v>63</v>
      </c>
      <c r="E18" s="32">
        <v>555</v>
      </c>
      <c r="F18" s="34">
        <v>0.471</v>
      </c>
      <c r="G18" s="89">
        <f t="shared" si="0"/>
        <v>0.13392099999999998</v>
      </c>
      <c r="H18" s="90">
        <f t="shared" si="3"/>
        <v>6.66</v>
      </c>
      <c r="I18" s="92">
        <f t="shared" si="4"/>
        <v>7.467088806087171</v>
      </c>
      <c r="J18" s="19"/>
      <c r="L18" s="18"/>
      <c r="M18" s="53">
        <f t="shared" si="1"/>
        <v>42</v>
      </c>
      <c r="N18" s="53">
        <f t="shared" si="1"/>
        <v>63</v>
      </c>
      <c r="O18" s="52" t="str">
        <f t="shared" si="5"/>
        <v>1.047</v>
      </c>
      <c r="P18" s="12"/>
      <c r="Q18" s="53">
        <f t="shared" si="2"/>
        <v>42</v>
      </c>
      <c r="R18" s="53">
        <f t="shared" si="2"/>
        <v>63</v>
      </c>
      <c r="S18" s="52" t="str">
        <f t="shared" si="6"/>
        <v>0.880</v>
      </c>
      <c r="T18" s="13"/>
      <c r="U18" s="56" t="str">
        <f t="shared" si="7"/>
        <v>0.40</v>
      </c>
      <c r="V18" s="53">
        <f t="shared" si="8"/>
        <v>33</v>
      </c>
      <c r="W18" s="52" t="str">
        <f>TEXT(F43/$F$40,"0.000")</f>
        <v>0.507</v>
      </c>
      <c r="Y18" s="19"/>
      <c r="AA18" s="18"/>
      <c r="AB18" s="46" t="str">
        <f>CONCATENATE("   INDEPENDENT-2    = ","("," ",N15,", ",N16,", ",N17,", ",N18,", ",N19,", ",N20,", ",N21,", ",N22,", ",N23,", ",N24,", ")</f>
        <v>   INDEPENDENT-2    = ( 75, 71, 67, 63, 59, 55, 75, 72, 69, 66, </v>
      </c>
      <c r="AC18" s="12"/>
      <c r="AD18" s="12"/>
      <c r="AE18" s="12"/>
      <c r="AF18" s="12"/>
      <c r="AG18" s="12"/>
      <c r="AH18" s="12"/>
      <c r="AI18" s="12"/>
      <c r="AJ18" s="12"/>
      <c r="AK18" s="19"/>
    </row>
    <row r="19" spans="1:37" ht="21.75" customHeight="1">
      <c r="A19" s="75"/>
      <c r="B19" s="76"/>
      <c r="C19" s="2">
        <v>42</v>
      </c>
      <c r="D19" s="2">
        <v>59</v>
      </c>
      <c r="E19" s="32">
        <v>535</v>
      </c>
      <c r="F19" s="34">
        <v>0.44</v>
      </c>
      <c r="G19" s="89">
        <f t="shared" si="0"/>
        <v>0.12510666666666667</v>
      </c>
      <c r="H19" s="90">
        <f t="shared" si="3"/>
        <v>6.42</v>
      </c>
      <c r="I19" s="92">
        <f t="shared" si="4"/>
        <v>7.993179153788767</v>
      </c>
      <c r="J19" s="19"/>
      <c r="L19" s="18"/>
      <c r="M19" s="53">
        <f t="shared" si="1"/>
        <v>42</v>
      </c>
      <c r="N19" s="53">
        <f t="shared" si="1"/>
        <v>59</v>
      </c>
      <c r="O19" s="52" t="str">
        <f t="shared" si="5"/>
        <v>1.009</v>
      </c>
      <c r="P19" s="12"/>
      <c r="Q19" s="53">
        <f t="shared" si="2"/>
        <v>42</v>
      </c>
      <c r="R19" s="53">
        <f t="shared" si="2"/>
        <v>59</v>
      </c>
      <c r="S19" s="52" t="str">
        <f t="shared" si="6"/>
        <v>0.822</v>
      </c>
      <c r="T19" s="13"/>
      <c r="U19" s="56" t="str">
        <f t="shared" si="7"/>
        <v>0.15</v>
      </c>
      <c r="V19" s="53">
        <f t="shared" si="8"/>
        <v>33</v>
      </c>
      <c r="W19" s="52" t="str">
        <f>TEXT(F44/$F$40,"0.000")</f>
        <v>0.307</v>
      </c>
      <c r="X19" s="13"/>
      <c r="Y19" s="19"/>
      <c r="AA19" s="18"/>
      <c r="AB19" s="46" t="str">
        <f>CONCATENATE("                        ",N25,", ",N26,", ",N27,", ",N28,", ",N29,", ",N30,", ",N31,", ",N32,", ",N33,", ",N34," ",")")</f>
        <v>                        63, 60, 57, 55, 75, 71, 67, 63, 59, 55 )</v>
      </c>
      <c r="AC19" s="12"/>
      <c r="AD19" s="12"/>
      <c r="AE19" s="12"/>
      <c r="AF19" s="12"/>
      <c r="AG19" s="12"/>
      <c r="AH19" s="12"/>
      <c r="AI19" s="12"/>
      <c r="AJ19" s="12"/>
      <c r="AK19" s="19"/>
    </row>
    <row r="20" spans="1:37" ht="21" customHeight="1">
      <c r="A20" s="75"/>
      <c r="B20" s="76"/>
      <c r="C20" s="2">
        <v>42</v>
      </c>
      <c r="D20" s="2">
        <v>55</v>
      </c>
      <c r="E20" s="32">
        <v>505</v>
      </c>
      <c r="F20" s="34">
        <v>0.415</v>
      </c>
      <c r="G20" s="89">
        <f t="shared" si="0"/>
        <v>0.11799833333333332</v>
      </c>
      <c r="H20" s="90">
        <f t="shared" si="3"/>
        <v>6.06</v>
      </c>
      <c r="I20" s="92">
        <f t="shared" si="4"/>
        <v>8.474695970282067</v>
      </c>
      <c r="J20" s="19"/>
      <c r="L20" s="18"/>
      <c r="M20" s="53">
        <f t="shared" si="1"/>
        <v>42</v>
      </c>
      <c r="N20" s="53">
        <f t="shared" si="1"/>
        <v>55</v>
      </c>
      <c r="O20" s="52" t="str">
        <f t="shared" si="5"/>
        <v>0.953</v>
      </c>
      <c r="P20" s="12"/>
      <c r="Q20" s="53">
        <f t="shared" si="2"/>
        <v>42</v>
      </c>
      <c r="R20" s="53">
        <f t="shared" si="2"/>
        <v>55</v>
      </c>
      <c r="S20" s="52" t="str">
        <f t="shared" si="6"/>
        <v>0.776</v>
      </c>
      <c r="T20" s="13"/>
      <c r="U20" s="67" t="str">
        <f t="shared" si="7"/>
        <v>1.00</v>
      </c>
      <c r="V20" s="68">
        <f t="shared" si="8"/>
        <v>15</v>
      </c>
      <c r="W20" s="69" t="str">
        <f aca="true" t="shared" si="9" ref="W20:W29">TEXT(F45/$F$45,"0.000")</f>
        <v>1.000</v>
      </c>
      <c r="X20" s="84" t="s">
        <v>64</v>
      </c>
      <c r="Y20" s="19"/>
      <c r="AA20" s="18"/>
      <c r="AB20" s="46" t="str">
        <f>CONCATENATE("   DEPENDENT        = ","("," ",O15,", ",O16,", ",O17,", ",O18,", ",O19,", ")</f>
        <v>   DEPENDENT        = ( 1.000, 1.028, 1.066, 1.047, 1.009, </v>
      </c>
      <c r="AC20" s="12"/>
      <c r="AD20" s="12"/>
      <c r="AE20" s="12"/>
      <c r="AF20" s="12"/>
      <c r="AG20" s="12"/>
      <c r="AH20" s="12"/>
      <c r="AI20" s="12"/>
      <c r="AJ20" s="12"/>
      <c r="AK20" s="19"/>
    </row>
    <row r="21" spans="1:37" ht="21.75" customHeight="1">
      <c r="A21" s="75"/>
      <c r="B21" s="76"/>
      <c r="C21" s="2">
        <v>45</v>
      </c>
      <c r="D21" s="2">
        <v>75</v>
      </c>
      <c r="E21" s="32">
        <v>550</v>
      </c>
      <c r="F21" s="34">
        <v>0.516</v>
      </c>
      <c r="G21" s="89">
        <f t="shared" si="0"/>
        <v>0.14671599999999999</v>
      </c>
      <c r="H21" s="90">
        <f t="shared" si="3"/>
        <v>6.6</v>
      </c>
      <c r="I21" s="92">
        <f t="shared" si="4"/>
        <v>6.815889200905151</v>
      </c>
      <c r="J21" s="19"/>
      <c r="L21" s="18"/>
      <c r="M21" s="53">
        <f t="shared" si="1"/>
        <v>45</v>
      </c>
      <c r="N21" s="53">
        <f t="shared" si="1"/>
        <v>75</v>
      </c>
      <c r="O21" s="52" t="str">
        <f t="shared" si="5"/>
        <v>1.038</v>
      </c>
      <c r="P21" s="12"/>
      <c r="Q21" s="53">
        <f t="shared" si="2"/>
        <v>45</v>
      </c>
      <c r="R21" s="53">
        <f t="shared" si="2"/>
        <v>75</v>
      </c>
      <c r="S21" s="52" t="str">
        <f t="shared" si="6"/>
        <v>0.964</v>
      </c>
      <c r="T21" s="13"/>
      <c r="U21" s="67" t="str">
        <f t="shared" si="7"/>
        <v>0.90</v>
      </c>
      <c r="V21" s="68">
        <f t="shared" si="8"/>
        <v>15</v>
      </c>
      <c r="W21" s="69" t="str">
        <f t="shared" si="9"/>
        <v>0.881</v>
      </c>
      <c r="Y21" s="19"/>
      <c r="AA21" s="18"/>
      <c r="AB21" s="46" t="str">
        <f>CONCATENATE("                        ",O20,", ",O21,", ",O22,", ",O23,", ",O24,", ")</f>
        <v>                        0.953, 1.038, 1.066, 1.094, 1.028, </v>
      </c>
      <c r="AC21" s="12"/>
      <c r="AD21" s="12"/>
      <c r="AE21" s="12"/>
      <c r="AF21" s="12"/>
      <c r="AG21" s="12"/>
      <c r="AH21" s="12"/>
      <c r="AI21" s="12"/>
      <c r="AJ21" s="12"/>
      <c r="AK21" s="19"/>
    </row>
    <row r="22" spans="1:37" ht="21.75" customHeight="1">
      <c r="A22" s="75"/>
      <c r="B22" s="76"/>
      <c r="C22" s="2">
        <v>45</v>
      </c>
      <c r="D22" s="2">
        <v>72</v>
      </c>
      <c r="E22" s="32">
        <v>565</v>
      </c>
      <c r="F22" s="34">
        <v>0.502</v>
      </c>
      <c r="G22" s="89">
        <f t="shared" si="0"/>
        <v>0.14273533333333333</v>
      </c>
      <c r="H22" s="90">
        <f t="shared" si="3"/>
        <v>6.78</v>
      </c>
      <c r="I22" s="92">
        <f t="shared" si="4"/>
        <v>7.005973760292943</v>
      </c>
      <c r="J22" s="19"/>
      <c r="L22" s="18"/>
      <c r="M22" s="53">
        <f t="shared" si="1"/>
        <v>45</v>
      </c>
      <c r="N22" s="53">
        <f t="shared" si="1"/>
        <v>72</v>
      </c>
      <c r="O22" s="52" t="str">
        <f t="shared" si="5"/>
        <v>1.066</v>
      </c>
      <c r="P22" s="12"/>
      <c r="Q22" s="53">
        <f t="shared" si="2"/>
        <v>45</v>
      </c>
      <c r="R22" s="53">
        <f t="shared" si="2"/>
        <v>72</v>
      </c>
      <c r="S22" s="52" t="str">
        <f t="shared" si="6"/>
        <v>0.938</v>
      </c>
      <c r="T22" s="13"/>
      <c r="U22" s="67" t="str">
        <f t="shared" si="7"/>
        <v>0.80</v>
      </c>
      <c r="V22" s="68">
        <f t="shared" si="8"/>
        <v>15</v>
      </c>
      <c r="W22" s="69" t="str">
        <f t="shared" si="9"/>
        <v>0.796</v>
      </c>
      <c r="X22" s="13"/>
      <c r="Y22" s="19"/>
      <c r="AA22" s="18"/>
      <c r="AB22" s="46" t="str">
        <f>CONCATENATE("                        ",O25,", ",O26,", ",O27,", ",O28,", ",O29,", ")</f>
        <v>                        1.047, 1.009, 0.962, 0.925, 1.085, </v>
      </c>
      <c r="AC22" s="12"/>
      <c r="AD22" s="12"/>
      <c r="AE22" s="12"/>
      <c r="AF22" s="12"/>
      <c r="AG22" s="12"/>
      <c r="AH22" s="12"/>
      <c r="AI22" s="12"/>
      <c r="AJ22" s="12"/>
      <c r="AK22" s="19"/>
    </row>
    <row r="23" spans="1:37" ht="21.75" customHeight="1">
      <c r="A23" s="75"/>
      <c r="B23" s="76"/>
      <c r="C23" s="2">
        <v>45</v>
      </c>
      <c r="D23" s="2">
        <v>69</v>
      </c>
      <c r="E23" s="32">
        <v>580</v>
      </c>
      <c r="F23" s="34">
        <v>0.491</v>
      </c>
      <c r="G23" s="89">
        <f t="shared" si="0"/>
        <v>0.13960766666666666</v>
      </c>
      <c r="H23" s="90">
        <f t="shared" si="3"/>
        <v>6.96</v>
      </c>
      <c r="I23" s="92">
        <f t="shared" si="4"/>
        <v>7.162930402580565</v>
      </c>
      <c r="J23" s="19"/>
      <c r="L23" s="18"/>
      <c r="M23" s="53">
        <f t="shared" si="1"/>
        <v>45</v>
      </c>
      <c r="N23" s="53">
        <f t="shared" si="1"/>
        <v>69</v>
      </c>
      <c r="O23" s="52" t="str">
        <f t="shared" si="5"/>
        <v>1.094</v>
      </c>
      <c r="P23" s="12"/>
      <c r="Q23" s="53">
        <f t="shared" si="2"/>
        <v>45</v>
      </c>
      <c r="R23" s="53">
        <f t="shared" si="2"/>
        <v>69</v>
      </c>
      <c r="S23" s="52" t="str">
        <f t="shared" si="6"/>
        <v>0.918</v>
      </c>
      <c r="T23" s="13"/>
      <c r="U23" s="67" t="str">
        <f t="shared" si="7"/>
        <v>0.70</v>
      </c>
      <c r="V23" s="68">
        <f t="shared" si="8"/>
        <v>15</v>
      </c>
      <c r="W23" s="69" t="str">
        <f t="shared" si="9"/>
        <v>0.715</v>
      </c>
      <c r="X23" s="13"/>
      <c r="Y23" s="19"/>
      <c r="AA23" s="18"/>
      <c r="AB23" s="46" t="str">
        <f>CONCATENATE("                        ",O30,", ",O31,", ",O32,", ",O33,", ",O34," ) ")</f>
        <v>                        1.009, 1.047, 1.038, 0.972, 0.887 ) </v>
      </c>
      <c r="AC23" s="12"/>
      <c r="AD23" s="12"/>
      <c r="AE23" s="12"/>
      <c r="AF23" s="12"/>
      <c r="AG23" s="12"/>
      <c r="AH23" s="12"/>
      <c r="AI23" s="12"/>
      <c r="AJ23" s="12"/>
      <c r="AK23" s="19"/>
    </row>
    <row r="24" spans="1:37" ht="21.75" customHeight="1">
      <c r="A24" s="75"/>
      <c r="B24" s="76"/>
      <c r="C24" s="2">
        <v>45</v>
      </c>
      <c r="D24" s="2">
        <v>66</v>
      </c>
      <c r="E24" s="32">
        <v>545</v>
      </c>
      <c r="F24" s="34">
        <v>0.452</v>
      </c>
      <c r="G24" s="89">
        <f t="shared" si="0"/>
        <v>0.12851866666666667</v>
      </c>
      <c r="H24" s="90">
        <f t="shared" si="3"/>
        <v>6.54</v>
      </c>
      <c r="I24" s="92">
        <f t="shared" si="4"/>
        <v>7.780970857670481</v>
      </c>
      <c r="J24" s="19"/>
      <c r="L24" s="18"/>
      <c r="M24" s="53">
        <f t="shared" si="1"/>
        <v>45</v>
      </c>
      <c r="N24" s="53">
        <f t="shared" si="1"/>
        <v>66</v>
      </c>
      <c r="O24" s="52" t="str">
        <f t="shared" si="5"/>
        <v>1.028</v>
      </c>
      <c r="P24" s="12"/>
      <c r="Q24" s="53">
        <f t="shared" si="2"/>
        <v>45</v>
      </c>
      <c r="R24" s="53">
        <f t="shared" si="2"/>
        <v>66</v>
      </c>
      <c r="S24" s="52" t="str">
        <f t="shared" si="6"/>
        <v>0.845</v>
      </c>
      <c r="T24" s="13"/>
      <c r="U24" s="67" t="str">
        <f t="shared" si="7"/>
        <v>0.60</v>
      </c>
      <c r="V24" s="68">
        <f t="shared" si="8"/>
        <v>15</v>
      </c>
      <c r="W24" s="69" t="str">
        <f t="shared" si="9"/>
        <v>0.640</v>
      </c>
      <c r="X24" s="13"/>
      <c r="Y24" s="19"/>
      <c r="AA24" s="18"/>
      <c r="AB24" s="46" t="s">
        <v>29</v>
      </c>
      <c r="AC24" s="12"/>
      <c r="AD24" s="12"/>
      <c r="AE24" s="12"/>
      <c r="AF24" s="12"/>
      <c r="AG24" s="12"/>
      <c r="AH24" s="12"/>
      <c r="AI24" s="12"/>
      <c r="AJ24" s="12"/>
      <c r="AK24" s="19"/>
    </row>
    <row r="25" spans="1:37" ht="21.75" customHeight="1">
      <c r="A25" s="75"/>
      <c r="B25" s="76"/>
      <c r="C25" s="2">
        <v>45</v>
      </c>
      <c r="D25" s="2">
        <v>63</v>
      </c>
      <c r="E25" s="32">
        <v>555</v>
      </c>
      <c r="F25" s="36">
        <v>0.445</v>
      </c>
      <c r="G25" s="89">
        <f t="shared" si="0"/>
        <v>0.12652833333333333</v>
      </c>
      <c r="H25" s="90">
        <f t="shared" si="3"/>
        <v>6.66</v>
      </c>
      <c r="I25" s="92">
        <f t="shared" si="4"/>
        <v>7.9033681520608035</v>
      </c>
      <c r="J25" s="19"/>
      <c r="L25" s="18"/>
      <c r="M25" s="53">
        <f t="shared" si="1"/>
        <v>45</v>
      </c>
      <c r="N25" s="53">
        <f t="shared" si="1"/>
        <v>63</v>
      </c>
      <c r="O25" s="52" t="str">
        <f t="shared" si="5"/>
        <v>1.047</v>
      </c>
      <c r="P25" s="12"/>
      <c r="Q25" s="53">
        <f t="shared" si="2"/>
        <v>45</v>
      </c>
      <c r="R25" s="53">
        <f t="shared" si="2"/>
        <v>63</v>
      </c>
      <c r="S25" s="52" t="str">
        <f t="shared" si="6"/>
        <v>0.832</v>
      </c>
      <c r="T25" s="13"/>
      <c r="U25" s="67" t="str">
        <f t="shared" si="7"/>
        <v>0.50</v>
      </c>
      <c r="V25" s="68">
        <f t="shared" si="8"/>
        <v>15</v>
      </c>
      <c r="W25" s="69" t="str">
        <f t="shared" si="9"/>
        <v>0.562</v>
      </c>
      <c r="X25" s="13"/>
      <c r="Y25" s="19"/>
      <c r="AA25" s="18"/>
      <c r="AB25" s="46" t="str">
        <f>CONCATENATE("""",O1,"-EIR-fCHWT&amp;ECT"""," = CURVE-FIT")</f>
        <v>"Constant Speed-EIR-fCHWT&amp;ECT" = CURVE-FIT</v>
      </c>
      <c r="AC25" s="12"/>
      <c r="AD25" s="12"/>
      <c r="AE25" s="12"/>
      <c r="AF25" s="12"/>
      <c r="AG25" s="12"/>
      <c r="AH25" s="12"/>
      <c r="AI25" s="12"/>
      <c r="AJ25" s="12"/>
      <c r="AK25" s="19"/>
    </row>
    <row r="26" spans="1:37" ht="21.75" customHeight="1">
      <c r="A26" s="75"/>
      <c r="B26" s="76"/>
      <c r="C26" s="2">
        <v>45</v>
      </c>
      <c r="D26" s="2">
        <v>60</v>
      </c>
      <c r="E26" s="39">
        <v>535</v>
      </c>
      <c r="F26" s="35">
        <v>0.425</v>
      </c>
      <c r="G26" s="88">
        <f t="shared" si="0"/>
        <v>0.12084166666666667</v>
      </c>
      <c r="H26" s="90">
        <f t="shared" si="3"/>
        <v>6.42</v>
      </c>
      <c r="I26" s="92">
        <f t="shared" si="4"/>
        <v>8.275291359216606</v>
      </c>
      <c r="J26" s="19"/>
      <c r="L26" s="18"/>
      <c r="M26" s="53">
        <f t="shared" si="1"/>
        <v>45</v>
      </c>
      <c r="N26" s="53">
        <f t="shared" si="1"/>
        <v>60</v>
      </c>
      <c r="O26" s="52" t="str">
        <f t="shared" si="5"/>
        <v>1.009</v>
      </c>
      <c r="P26" s="12"/>
      <c r="Q26" s="53">
        <f t="shared" si="2"/>
        <v>45</v>
      </c>
      <c r="R26" s="53">
        <f t="shared" si="2"/>
        <v>60</v>
      </c>
      <c r="S26" s="52" t="str">
        <f t="shared" si="6"/>
        <v>0.794</v>
      </c>
      <c r="T26" s="13"/>
      <c r="U26" s="67" t="str">
        <f t="shared" si="7"/>
        <v>0.40</v>
      </c>
      <c r="V26" s="68">
        <f t="shared" si="8"/>
        <v>15</v>
      </c>
      <c r="W26" s="69" t="str">
        <f t="shared" si="9"/>
        <v>0.488</v>
      </c>
      <c r="X26" s="13"/>
      <c r="Y26" s="19"/>
      <c r="AA26" s="18"/>
      <c r="AB26" s="46" t="s">
        <v>34</v>
      </c>
      <c r="AC26" s="12"/>
      <c r="AD26" s="12"/>
      <c r="AE26" s="12"/>
      <c r="AF26" s="12"/>
      <c r="AG26" s="12"/>
      <c r="AH26" s="12"/>
      <c r="AI26" s="12"/>
      <c r="AJ26" s="12"/>
      <c r="AK26" s="19"/>
    </row>
    <row r="27" spans="1:37" ht="21.75" customHeight="1">
      <c r="A27" s="75"/>
      <c r="B27" s="76"/>
      <c r="C27" s="2">
        <v>45</v>
      </c>
      <c r="D27" s="2">
        <v>57</v>
      </c>
      <c r="E27" s="32">
        <v>510</v>
      </c>
      <c r="F27" s="36">
        <v>0.41</v>
      </c>
      <c r="G27" s="89">
        <f t="shared" si="0"/>
        <v>0.11657666666666666</v>
      </c>
      <c r="H27" s="90">
        <f t="shared" si="3"/>
        <v>6.12</v>
      </c>
      <c r="I27" s="92">
        <f t="shared" si="4"/>
        <v>8.578045921139164</v>
      </c>
      <c r="J27" s="19"/>
      <c r="L27" s="18"/>
      <c r="M27" s="53">
        <f t="shared" si="1"/>
        <v>45</v>
      </c>
      <c r="N27" s="53">
        <f t="shared" si="1"/>
        <v>57</v>
      </c>
      <c r="O27" s="52" t="str">
        <f t="shared" si="5"/>
        <v>0.962</v>
      </c>
      <c r="P27" s="12"/>
      <c r="Q27" s="53">
        <f t="shared" si="2"/>
        <v>45</v>
      </c>
      <c r="R27" s="53">
        <f t="shared" si="2"/>
        <v>57</v>
      </c>
      <c r="S27" s="52" t="str">
        <f t="shared" si="6"/>
        <v>0.766</v>
      </c>
      <c r="T27" s="13"/>
      <c r="U27" s="67" t="str">
        <f t="shared" si="7"/>
        <v>0.30</v>
      </c>
      <c r="V27" s="68">
        <f t="shared" si="8"/>
        <v>15</v>
      </c>
      <c r="W27" s="69" t="str">
        <f t="shared" si="9"/>
        <v>0.417</v>
      </c>
      <c r="X27" s="13"/>
      <c r="Y27" s="19"/>
      <c r="AA27" s="18"/>
      <c r="AB27" s="46" t="s">
        <v>32</v>
      </c>
      <c r="AC27" s="12"/>
      <c r="AD27" s="12"/>
      <c r="AE27" s="12"/>
      <c r="AF27" s="12"/>
      <c r="AG27" s="12"/>
      <c r="AH27" s="12"/>
      <c r="AI27" s="12"/>
      <c r="AJ27" s="12"/>
      <c r="AK27" s="19"/>
    </row>
    <row r="28" spans="1:37" ht="21.75" customHeight="1">
      <c r="A28" s="75"/>
      <c r="B28" s="76"/>
      <c r="C28" s="2">
        <v>45</v>
      </c>
      <c r="D28" s="2">
        <v>55</v>
      </c>
      <c r="E28" s="32">
        <v>490</v>
      </c>
      <c r="F28" s="34">
        <v>0.399</v>
      </c>
      <c r="G28" s="89">
        <f t="shared" si="0"/>
        <v>0.11344900000000001</v>
      </c>
      <c r="H28" s="90">
        <f t="shared" si="3"/>
        <v>5.88</v>
      </c>
      <c r="I28" s="92">
        <f t="shared" si="4"/>
        <v>8.814533402674328</v>
      </c>
      <c r="J28" s="19"/>
      <c r="L28" s="18"/>
      <c r="M28" s="53">
        <f t="shared" si="1"/>
        <v>45</v>
      </c>
      <c r="N28" s="53">
        <f t="shared" si="1"/>
        <v>55</v>
      </c>
      <c r="O28" s="52" t="str">
        <f t="shared" si="5"/>
        <v>0.925</v>
      </c>
      <c r="P28" s="12"/>
      <c r="Q28" s="53">
        <f t="shared" si="2"/>
        <v>45</v>
      </c>
      <c r="R28" s="53">
        <f t="shared" si="2"/>
        <v>55</v>
      </c>
      <c r="S28" s="52" t="str">
        <f t="shared" si="6"/>
        <v>0.746</v>
      </c>
      <c r="T28" s="13"/>
      <c r="U28" s="67" t="str">
        <f t="shared" si="7"/>
        <v>0.20</v>
      </c>
      <c r="V28" s="68">
        <f t="shared" si="8"/>
        <v>15</v>
      </c>
      <c r="W28" s="69" t="str">
        <f t="shared" si="9"/>
        <v>0.349</v>
      </c>
      <c r="X28" s="13"/>
      <c r="Y28" s="19"/>
      <c r="AA28" s="18"/>
      <c r="AB28" s="46" t="str">
        <f>CONCATENATE("   INDEPENDENT-1    = ","("," ",Q15,", ",Q16,", ",Q17,", ",Q18,", ",Q19,", ",Q20,", ",Q21,", ",Q22,", ",Q23,", ",Q24,", ")</f>
        <v>   INDEPENDENT-1    = ( 42, 42, 42, 42, 42, 42, 45, 45, 45, 45, </v>
      </c>
      <c r="AC28" s="12"/>
      <c r="AD28" s="12"/>
      <c r="AE28" s="12"/>
      <c r="AF28" s="12"/>
      <c r="AG28" s="12"/>
      <c r="AH28" s="12"/>
      <c r="AI28" s="12"/>
      <c r="AJ28" s="12"/>
      <c r="AK28" s="19"/>
    </row>
    <row r="29" spans="1:37" ht="22.5" customHeight="1">
      <c r="A29" s="75"/>
      <c r="B29" s="76"/>
      <c r="C29" s="2">
        <v>48</v>
      </c>
      <c r="D29" s="2">
        <v>75</v>
      </c>
      <c r="E29" s="32">
        <v>575</v>
      </c>
      <c r="F29" s="34">
        <v>0.495</v>
      </c>
      <c r="G29" s="89">
        <f t="shared" si="0"/>
        <v>0.14074499999999998</v>
      </c>
      <c r="H29" s="90">
        <f t="shared" si="3"/>
        <v>6.9</v>
      </c>
      <c r="I29" s="92">
        <f t="shared" si="4"/>
        <v>7.105048136701127</v>
      </c>
      <c r="J29" s="19"/>
      <c r="L29" s="18"/>
      <c r="M29" s="53">
        <f t="shared" si="1"/>
        <v>48</v>
      </c>
      <c r="N29" s="53">
        <f t="shared" si="1"/>
        <v>75</v>
      </c>
      <c r="O29" s="52" t="str">
        <f t="shared" si="5"/>
        <v>1.085</v>
      </c>
      <c r="P29" s="12"/>
      <c r="Q29" s="53">
        <f t="shared" si="2"/>
        <v>48</v>
      </c>
      <c r="R29" s="53">
        <f t="shared" si="2"/>
        <v>75</v>
      </c>
      <c r="S29" s="52" t="str">
        <f t="shared" si="6"/>
        <v>0.925</v>
      </c>
      <c r="T29" s="13"/>
      <c r="U29" s="67" t="str">
        <f t="shared" si="7"/>
        <v>0.10</v>
      </c>
      <c r="V29" s="68">
        <f t="shared" si="8"/>
        <v>15</v>
      </c>
      <c r="W29" s="69" t="str">
        <f t="shared" si="9"/>
        <v>0.268</v>
      </c>
      <c r="X29" s="13"/>
      <c r="Y29" s="19"/>
      <c r="AA29" s="18"/>
      <c r="AB29" s="46" t="str">
        <f>CONCATENATE("                        ",Q25,", ",Q26,", ",Q27,", ",Q28,", ",Q29,", ",Q30,", ",Q31,", ",Q32,", ",Q33,", ",Q34," ",")")</f>
        <v>                        45, 45, 45, 45, 48, 48, 48, 48, 48, 48 )</v>
      </c>
      <c r="AC29" s="12"/>
      <c r="AD29" s="12"/>
      <c r="AE29" s="12"/>
      <c r="AF29" s="12"/>
      <c r="AG29" s="12"/>
      <c r="AH29" s="12"/>
      <c r="AI29" s="12"/>
      <c r="AJ29" s="12"/>
      <c r="AK29" s="19"/>
    </row>
    <row r="30" spans="1:37" ht="19.5" customHeight="1">
      <c r="A30" s="75"/>
      <c r="B30" s="76"/>
      <c r="C30" s="2">
        <v>48</v>
      </c>
      <c r="D30" s="2">
        <v>71</v>
      </c>
      <c r="E30" s="32">
        <v>535</v>
      </c>
      <c r="F30" s="36">
        <v>0.464</v>
      </c>
      <c r="G30" s="89">
        <f t="shared" si="0"/>
        <v>0.13193066666666667</v>
      </c>
      <c r="H30" s="90">
        <f t="shared" si="3"/>
        <v>6.42</v>
      </c>
      <c r="I30" s="92">
        <f t="shared" si="4"/>
        <v>7.579738852730727</v>
      </c>
      <c r="J30" s="19"/>
      <c r="L30" s="18"/>
      <c r="M30" s="53">
        <f t="shared" si="1"/>
        <v>48</v>
      </c>
      <c r="N30" s="53">
        <f t="shared" si="1"/>
        <v>71</v>
      </c>
      <c r="O30" s="52" t="str">
        <f t="shared" si="5"/>
        <v>1.009</v>
      </c>
      <c r="P30" s="12"/>
      <c r="Q30" s="53">
        <f t="shared" si="2"/>
        <v>48</v>
      </c>
      <c r="R30" s="53">
        <f t="shared" si="2"/>
        <v>71</v>
      </c>
      <c r="S30" s="52" t="str">
        <f t="shared" si="6"/>
        <v>0.867</v>
      </c>
      <c r="T30" s="13"/>
      <c r="U30" s="64" t="str">
        <f t="shared" si="7"/>
        <v>1.00</v>
      </c>
      <c r="V30" s="65">
        <f t="shared" si="8"/>
        <v>7</v>
      </c>
      <c r="W30" s="66" t="str">
        <f>TEXT(F55/$F$55,"0.000")</f>
        <v>1.000</v>
      </c>
      <c r="X30" s="85" t="s">
        <v>64</v>
      </c>
      <c r="Y30" s="19"/>
      <c r="AA30" s="18"/>
      <c r="AB30" s="46" t="str">
        <f>CONCATENATE("   INDEPENDENT-2    = ","("," ",R15,", ",R16,", ",R17,", ",R18,", ",R19,", ",R20,", ",R21,", ",R22,", ",R23,", ",R24,", ")</f>
        <v>   INDEPENDENT-2    = ( 75, 71, 67, 63, 59, 55, 75, 72, 69, 66, </v>
      </c>
      <c r="AC30" s="12"/>
      <c r="AD30" s="12"/>
      <c r="AE30" s="12"/>
      <c r="AF30" s="12"/>
      <c r="AG30" s="12"/>
      <c r="AH30" s="12"/>
      <c r="AI30" s="12"/>
      <c r="AJ30" s="12"/>
      <c r="AK30" s="19"/>
    </row>
    <row r="31" spans="1:37" ht="21.75" customHeight="1">
      <c r="A31" s="75"/>
      <c r="B31" s="76"/>
      <c r="C31" s="2">
        <v>48</v>
      </c>
      <c r="D31" s="2">
        <v>67</v>
      </c>
      <c r="E31" s="32">
        <v>555</v>
      </c>
      <c r="F31" s="34">
        <v>0.446</v>
      </c>
      <c r="G31" s="89">
        <f t="shared" si="0"/>
        <v>0.12681266666666666</v>
      </c>
      <c r="H31" s="90">
        <f t="shared" si="3"/>
        <v>6.66</v>
      </c>
      <c r="I31" s="92">
        <f t="shared" si="4"/>
        <v>7.885647595666048</v>
      </c>
      <c r="J31" s="19"/>
      <c r="L31" s="18"/>
      <c r="M31" s="53">
        <f t="shared" si="1"/>
        <v>48</v>
      </c>
      <c r="N31" s="53">
        <f t="shared" si="1"/>
        <v>67</v>
      </c>
      <c r="O31" s="52" t="str">
        <f t="shared" si="5"/>
        <v>1.047</v>
      </c>
      <c r="P31" s="12"/>
      <c r="Q31" s="53">
        <f t="shared" si="2"/>
        <v>48</v>
      </c>
      <c r="R31" s="53">
        <f t="shared" si="2"/>
        <v>67</v>
      </c>
      <c r="S31" s="52" t="str">
        <f t="shared" si="6"/>
        <v>0.834</v>
      </c>
      <c r="T31" s="13"/>
      <c r="U31" s="64"/>
      <c r="V31" s="65"/>
      <c r="W31" s="66"/>
      <c r="X31" s="13"/>
      <c r="Y31" s="19"/>
      <c r="AA31" s="18"/>
      <c r="AB31" s="46" t="str">
        <f>CONCATENATE("                        ",R25,", ",R26,", ",R27,", ",R28,", ",R29,", ",R30,", ",R31,", ",R32,", ",R33,", ",R34," ",")")</f>
        <v>                        63, 60, 57, 55, 75, 71, 67, 63, 59, 55 )</v>
      </c>
      <c r="AC31" s="12"/>
      <c r="AD31" s="12"/>
      <c r="AE31" s="12"/>
      <c r="AF31" s="12"/>
      <c r="AG31" s="12"/>
      <c r="AH31" s="12"/>
      <c r="AI31" s="12"/>
      <c r="AJ31" s="12"/>
      <c r="AK31" s="19"/>
    </row>
    <row r="32" spans="1:37" ht="21.75" customHeight="1">
      <c r="A32" s="75"/>
      <c r="B32" s="76"/>
      <c r="C32" s="2">
        <v>48</v>
      </c>
      <c r="D32" s="2">
        <v>63</v>
      </c>
      <c r="E32" s="32">
        <v>550</v>
      </c>
      <c r="F32" s="34">
        <v>0.425</v>
      </c>
      <c r="G32" s="89">
        <f t="shared" si="0"/>
        <v>0.12084166666666667</v>
      </c>
      <c r="H32" s="90">
        <f t="shared" si="3"/>
        <v>6.6</v>
      </c>
      <c r="I32" s="92">
        <f t="shared" si="4"/>
        <v>8.275291359216606</v>
      </c>
      <c r="J32" s="19"/>
      <c r="L32" s="18"/>
      <c r="M32" s="53">
        <f t="shared" si="1"/>
        <v>48</v>
      </c>
      <c r="N32" s="53">
        <f t="shared" si="1"/>
        <v>63</v>
      </c>
      <c r="O32" s="52" t="str">
        <f t="shared" si="5"/>
        <v>1.038</v>
      </c>
      <c r="P32" s="12"/>
      <c r="Q32" s="53">
        <f t="shared" si="2"/>
        <v>48</v>
      </c>
      <c r="R32" s="53">
        <f t="shared" si="2"/>
        <v>63</v>
      </c>
      <c r="S32" s="52" t="str">
        <f t="shared" si="6"/>
        <v>0.794</v>
      </c>
      <c r="T32" s="13"/>
      <c r="U32" s="64"/>
      <c r="V32" s="65"/>
      <c r="W32" s="66"/>
      <c r="X32" s="13"/>
      <c r="Y32" s="19"/>
      <c r="AA32" s="18"/>
      <c r="AB32" s="46" t="str">
        <f>CONCATENATE("   DEPENDENT        = ","("," ",S15,", ",S16,", ",S17,", ",S18,", ",S19,", ")</f>
        <v>   DEPENDENT        = ( 1.000, 0.972, 0.936, 0.880, 0.822, </v>
      </c>
      <c r="AC32" s="12"/>
      <c r="AD32" s="12"/>
      <c r="AE32" s="12"/>
      <c r="AF32" s="12"/>
      <c r="AG32" s="12"/>
      <c r="AH32" s="12"/>
      <c r="AI32" s="12"/>
      <c r="AJ32" s="12"/>
      <c r="AK32" s="19"/>
    </row>
    <row r="33" spans="1:37" ht="21.75" customHeight="1">
      <c r="A33" s="75"/>
      <c r="B33" s="76"/>
      <c r="C33" s="2">
        <v>48</v>
      </c>
      <c r="D33" s="2">
        <v>59</v>
      </c>
      <c r="E33" s="32">
        <v>515</v>
      </c>
      <c r="F33" s="34">
        <v>0.404</v>
      </c>
      <c r="G33" s="89">
        <f t="shared" si="0"/>
        <v>0.11487066666666668</v>
      </c>
      <c r="H33" s="90">
        <f t="shared" si="3"/>
        <v>6.18</v>
      </c>
      <c r="I33" s="92">
        <f t="shared" si="4"/>
        <v>8.705442642740241</v>
      </c>
      <c r="J33" s="19"/>
      <c r="L33" s="18"/>
      <c r="M33" s="53">
        <f t="shared" si="1"/>
        <v>48</v>
      </c>
      <c r="N33" s="53">
        <f t="shared" si="1"/>
        <v>59</v>
      </c>
      <c r="O33" s="52" t="str">
        <f t="shared" si="5"/>
        <v>0.972</v>
      </c>
      <c r="P33" s="12"/>
      <c r="Q33" s="53">
        <f t="shared" si="2"/>
        <v>48</v>
      </c>
      <c r="R33" s="53">
        <f t="shared" si="2"/>
        <v>59</v>
      </c>
      <c r="S33" s="52" t="str">
        <f t="shared" si="6"/>
        <v>0.755</v>
      </c>
      <c r="T33" s="13"/>
      <c r="U33" s="64"/>
      <c r="V33" s="65"/>
      <c r="W33" s="66"/>
      <c r="X33" s="13"/>
      <c r="Y33" s="19"/>
      <c r="AA33" s="18"/>
      <c r="AB33" s="46" t="str">
        <f>CONCATENATE("                        ",S20,", ",S21,", ",S22,", ",S23,", ",S24,", ")</f>
        <v>                        0.776, 0.964, 0.938, 0.918, 0.845, </v>
      </c>
      <c r="AC33" s="12"/>
      <c r="AD33" s="12"/>
      <c r="AE33" s="12"/>
      <c r="AF33" s="12"/>
      <c r="AG33" s="12"/>
      <c r="AH33" s="12"/>
      <c r="AI33" s="12"/>
      <c r="AJ33" s="12"/>
      <c r="AK33" s="19"/>
    </row>
    <row r="34" spans="1:37" ht="21.75" customHeight="1">
      <c r="A34" s="75"/>
      <c r="B34" s="76"/>
      <c r="C34" s="2">
        <v>48</v>
      </c>
      <c r="D34" s="2">
        <v>55</v>
      </c>
      <c r="E34" s="39">
        <v>470</v>
      </c>
      <c r="F34" s="35">
        <v>0.388</v>
      </c>
      <c r="G34" s="88">
        <f t="shared" si="0"/>
        <v>0.11032133333333333</v>
      </c>
      <c r="H34" s="90">
        <f t="shared" si="3"/>
        <v>5.64</v>
      </c>
      <c r="I34" s="92">
        <f t="shared" si="4"/>
        <v>9.064429968214066</v>
      </c>
      <c r="J34" s="19"/>
      <c r="L34" s="18"/>
      <c r="M34" s="53">
        <f t="shared" si="1"/>
        <v>48</v>
      </c>
      <c r="N34" s="53">
        <f t="shared" si="1"/>
        <v>55</v>
      </c>
      <c r="O34" s="52" t="str">
        <f t="shared" si="5"/>
        <v>0.887</v>
      </c>
      <c r="P34" s="12"/>
      <c r="Q34" s="53">
        <f t="shared" si="2"/>
        <v>48</v>
      </c>
      <c r="R34" s="53">
        <f t="shared" si="2"/>
        <v>55</v>
      </c>
      <c r="S34" s="52" t="str">
        <f>TEXT(G34/$G$15,"0.000")</f>
        <v>0.725</v>
      </c>
      <c r="T34" s="13"/>
      <c r="U34" s="64"/>
      <c r="V34" s="65"/>
      <c r="W34" s="66"/>
      <c r="X34" s="13"/>
      <c r="Y34" s="19"/>
      <c r="AA34" s="18"/>
      <c r="AB34" s="46" t="str">
        <f>CONCATENATE("                        ",S25,", ",S26,", ",S27,", ",S28,", ",S29,", ")</f>
        <v>                        0.832, 0.794, 0.766, 0.746, 0.925, </v>
      </c>
      <c r="AC34" s="12"/>
      <c r="AD34" s="12"/>
      <c r="AE34" s="12"/>
      <c r="AF34" s="12"/>
      <c r="AG34" s="12"/>
      <c r="AH34" s="12"/>
      <c r="AI34" s="12"/>
      <c r="AJ34" s="12"/>
      <c r="AK34" s="19"/>
    </row>
    <row r="35" spans="1:37" ht="21.75" customHeight="1">
      <c r="A35" s="18"/>
      <c r="B35" s="12"/>
      <c r="D35" s="12"/>
      <c r="E35" s="25" t="s">
        <v>6</v>
      </c>
      <c r="H35" s="59"/>
      <c r="I35" s="12"/>
      <c r="J35" s="19"/>
      <c r="L35" s="18"/>
      <c r="M35" s="12"/>
      <c r="N35" s="12"/>
      <c r="O35" s="12"/>
      <c r="P35" s="12"/>
      <c r="Q35" s="12"/>
      <c r="R35" s="12"/>
      <c r="S35" s="12"/>
      <c r="T35" s="13"/>
      <c r="U35" s="13"/>
      <c r="V35" s="13"/>
      <c r="W35" s="13"/>
      <c r="X35" s="13"/>
      <c r="Y35" s="19"/>
      <c r="AA35" s="18"/>
      <c r="AB35" s="46" t="str">
        <f>CONCATENATE("                        ",S30,", ",S31,", ",S32,", ",S33,", ",S34," ) ")</f>
        <v>                        0.867, 0.834, 0.794, 0.755, 0.725 ) </v>
      </c>
      <c r="AC35" s="12"/>
      <c r="AD35" s="12"/>
      <c r="AE35" s="12"/>
      <c r="AF35" s="12"/>
      <c r="AG35" s="12"/>
      <c r="AH35" s="12"/>
      <c r="AI35" s="12"/>
      <c r="AJ35" s="12"/>
      <c r="AK35" s="19"/>
    </row>
    <row r="36" spans="1:37" ht="21.75" customHeight="1">
      <c r="A36" s="18"/>
      <c r="B36" s="12"/>
      <c r="D36" s="12"/>
      <c r="E36" s="25" t="s">
        <v>14</v>
      </c>
      <c r="H36" s="59"/>
      <c r="I36" s="12"/>
      <c r="J36" s="19"/>
      <c r="L36" s="18"/>
      <c r="N36" s="51"/>
      <c r="O36" s="51"/>
      <c r="P36" s="12"/>
      <c r="Q36" s="12"/>
      <c r="R36" s="12"/>
      <c r="S36" s="12"/>
      <c r="T36" s="70"/>
      <c r="U36" s="70"/>
      <c r="V36" s="70"/>
      <c r="W36" s="70"/>
      <c r="X36" s="13"/>
      <c r="Y36" s="19"/>
      <c r="AA36" s="18"/>
      <c r="AB36" s="46" t="s">
        <v>29</v>
      </c>
      <c r="AC36" s="12"/>
      <c r="AD36" s="12"/>
      <c r="AE36" s="12"/>
      <c r="AF36" s="12"/>
      <c r="AG36" s="12"/>
      <c r="AH36" s="12"/>
      <c r="AI36" s="12"/>
      <c r="AJ36" s="12"/>
      <c r="AK36" s="19"/>
    </row>
    <row r="37" spans="1:37" ht="21.75" customHeight="1">
      <c r="A37" s="18"/>
      <c r="F37" s="12"/>
      <c r="G37" s="12"/>
      <c r="H37" s="60"/>
      <c r="I37" s="12"/>
      <c r="J37" s="19"/>
      <c r="L37" s="18"/>
      <c r="M37" s="51"/>
      <c r="N37" s="51"/>
      <c r="O37" s="51"/>
      <c r="P37" s="44"/>
      <c r="Q37" s="12"/>
      <c r="R37" s="12"/>
      <c r="S37" s="12"/>
      <c r="T37" s="70"/>
      <c r="U37" s="70"/>
      <c r="V37" s="70"/>
      <c r="W37" s="70"/>
      <c r="X37" s="13"/>
      <c r="Y37" s="19"/>
      <c r="AA37" s="18"/>
      <c r="AB37" s="3" t="str">
        <f>CONCATENATE("""",O1,"-EIR-fPLR&amp;dT"""," = CURVE-FIT")</f>
        <v>"Constant Speed-EIR-fPLR&amp;dT" = CURVE-FIT</v>
      </c>
      <c r="AC37" s="12"/>
      <c r="AD37" s="12"/>
      <c r="AE37" s="12"/>
      <c r="AF37" s="12"/>
      <c r="AG37" s="12"/>
      <c r="AH37" s="12"/>
      <c r="AI37" s="12"/>
      <c r="AJ37" s="12"/>
      <c r="AK37" s="19"/>
    </row>
    <row r="38" spans="1:37" ht="21.75" customHeight="1">
      <c r="A38" s="18"/>
      <c r="E38" s="31" t="s">
        <v>23</v>
      </c>
      <c r="F38" s="31"/>
      <c r="G38" s="31"/>
      <c r="H38" s="61"/>
      <c r="I38" s="13"/>
      <c r="J38" s="19"/>
      <c r="L38" s="18"/>
      <c r="M38" s="49"/>
      <c r="N38" s="49"/>
      <c r="O38" s="49"/>
      <c r="P38" s="12"/>
      <c r="T38" s="13"/>
      <c r="U38" s="54"/>
      <c r="V38" s="13"/>
      <c r="W38" s="13"/>
      <c r="X38" s="13"/>
      <c r="Y38" s="19"/>
      <c r="AA38" s="18"/>
      <c r="AB38" s="3" t="s">
        <v>33</v>
      </c>
      <c r="AC38" s="12"/>
      <c r="AD38" s="12"/>
      <c r="AE38" s="12"/>
      <c r="AF38" s="12"/>
      <c r="AG38" s="12"/>
      <c r="AH38" s="12"/>
      <c r="AI38" s="12"/>
      <c r="AJ38" s="12"/>
      <c r="AK38" s="19"/>
    </row>
    <row r="39" spans="1:37" ht="21.75" customHeight="1">
      <c r="A39" s="18"/>
      <c r="B39" s="14" t="s">
        <v>24</v>
      </c>
      <c r="E39" s="24" t="s">
        <v>66</v>
      </c>
      <c r="F39" s="63" t="s">
        <v>68</v>
      </c>
      <c r="G39" s="31"/>
      <c r="H39" s="61"/>
      <c r="I39" s="91"/>
      <c r="J39" s="26"/>
      <c r="K39" s="9"/>
      <c r="L39" s="50"/>
      <c r="M39" s="49"/>
      <c r="N39" s="49"/>
      <c r="O39" s="49"/>
      <c r="T39" s="13"/>
      <c r="U39" s="13"/>
      <c r="V39" s="13"/>
      <c r="W39" s="13"/>
      <c r="X39" s="13"/>
      <c r="Y39" s="19"/>
      <c r="AA39" s="18"/>
      <c r="AB39" s="3" t="s">
        <v>32</v>
      </c>
      <c r="AC39" s="12"/>
      <c r="AD39" s="12"/>
      <c r="AE39" s="12"/>
      <c r="AF39" s="12"/>
      <c r="AG39" s="12"/>
      <c r="AH39" s="12"/>
      <c r="AI39" s="12"/>
      <c r="AJ39" s="12"/>
      <c r="AK39" s="19"/>
    </row>
    <row r="40" spans="1:37" ht="21.75" customHeight="1">
      <c r="A40" s="18"/>
      <c r="B40" s="5">
        <v>1</v>
      </c>
      <c r="C40" s="2">
        <v>42</v>
      </c>
      <c r="D40" s="2">
        <v>75</v>
      </c>
      <c r="E40" s="41">
        <f>E15</f>
        <v>530</v>
      </c>
      <c r="F40" s="33">
        <f>E15*F15</f>
        <v>283.55</v>
      </c>
      <c r="G40" s="94" t="s">
        <v>69</v>
      </c>
      <c r="H40" s="61"/>
      <c r="I40" s="92"/>
      <c r="J40" s="73"/>
      <c r="L40" s="18"/>
      <c r="M40" s="48"/>
      <c r="N40" s="47"/>
      <c r="T40" s="13"/>
      <c r="U40" s="13"/>
      <c r="V40" s="13"/>
      <c r="W40" s="13"/>
      <c r="X40" s="13"/>
      <c r="Y40" s="19"/>
      <c r="AA40" s="18"/>
      <c r="AB40" s="46" t="str">
        <f>CONCATENATE("   INDEPENDENT-1    = ","("," ",U15,", ",U16,", ",U17,", ",U18,", ",U19)</f>
        <v>   INDEPENDENT-1    = ( 1.00, 0.80, 0.60, 0.40, 0.15</v>
      </c>
      <c r="AC40" s="12"/>
      <c r="AD40" s="12"/>
      <c r="AE40" s="12"/>
      <c r="AF40" s="12"/>
      <c r="AG40" s="12"/>
      <c r="AH40" s="12"/>
      <c r="AI40" s="12"/>
      <c r="AJ40" s="12"/>
      <c r="AK40" s="19"/>
    </row>
    <row r="41" spans="1:37" ht="21.75" customHeight="1">
      <c r="A41" s="18"/>
      <c r="B41" s="5">
        <v>0.8</v>
      </c>
      <c r="C41" s="2">
        <v>42</v>
      </c>
      <c r="D41" s="2">
        <v>75</v>
      </c>
      <c r="E41" s="43">
        <f>B41*$E$40</f>
        <v>424</v>
      </c>
      <c r="F41" s="36">
        <v>217.936</v>
      </c>
      <c r="G41" s="31"/>
      <c r="H41" s="61"/>
      <c r="I41" s="92"/>
      <c r="J41" s="73"/>
      <c r="L41" s="18"/>
      <c r="N41" s="3" t="s">
        <v>59</v>
      </c>
      <c r="T41" s="13"/>
      <c r="U41" s="13"/>
      <c r="V41" s="13"/>
      <c r="W41" s="13"/>
      <c r="X41" s="13"/>
      <c r="Y41" s="19"/>
      <c r="AA41" s="18"/>
      <c r="AB41" s="46" t="str">
        <f>CONCATENATE("                        ",U20,", ",U21,", ",U22,", ",U23,", ",U24,", ")</f>
        <v>                        1.00, 0.90, 0.80, 0.70, 0.60, </v>
      </c>
      <c r="AC41" s="12"/>
      <c r="AD41" s="12"/>
      <c r="AE41" s="12"/>
      <c r="AF41" s="12"/>
      <c r="AG41" s="12"/>
      <c r="AH41" s="12"/>
      <c r="AI41" s="12"/>
      <c r="AJ41" s="12"/>
      <c r="AK41" s="19"/>
    </row>
    <row r="42" spans="1:37" ht="21.75" customHeight="1">
      <c r="A42" s="18"/>
      <c r="B42" s="5">
        <v>0.6</v>
      </c>
      <c r="C42" s="2">
        <v>42</v>
      </c>
      <c r="D42" s="2">
        <v>75</v>
      </c>
      <c r="E42" s="43">
        <f>B42*$E$40</f>
        <v>318</v>
      </c>
      <c r="F42" s="36">
        <v>181.57799999999997</v>
      </c>
      <c r="G42" s="31"/>
      <c r="H42" s="61"/>
      <c r="I42" s="92"/>
      <c r="J42" s="73"/>
      <c r="L42" s="18"/>
      <c r="N42" s="3" t="s">
        <v>62</v>
      </c>
      <c r="T42" s="13"/>
      <c r="U42" s="13"/>
      <c r="V42" s="13"/>
      <c r="W42" s="13"/>
      <c r="X42" s="13"/>
      <c r="Y42" s="19"/>
      <c r="AA42" s="18"/>
      <c r="AB42" s="46" t="str">
        <f>CONCATENATE("                        ",U25,", ",U26,", ",U27,", ",U28,", ",U29,", ")</f>
        <v>                        0.50, 0.40, 0.30, 0.20, 0.10, </v>
      </c>
      <c r="AC42" s="12"/>
      <c r="AD42" s="12"/>
      <c r="AE42" s="12"/>
      <c r="AF42" s="12"/>
      <c r="AG42" s="12"/>
      <c r="AH42" s="12"/>
      <c r="AI42" s="12"/>
      <c r="AJ42" s="12"/>
      <c r="AK42" s="19"/>
    </row>
    <row r="43" spans="1:37" ht="21.75" customHeight="1">
      <c r="A43" s="18"/>
      <c r="B43" s="5">
        <v>0.4</v>
      </c>
      <c r="C43" s="2">
        <v>42</v>
      </c>
      <c r="D43" s="2">
        <v>75</v>
      </c>
      <c r="E43" s="43">
        <f>B43*$E$40</f>
        <v>212</v>
      </c>
      <c r="F43" s="36">
        <v>143.73600000000002</v>
      </c>
      <c r="G43" s="31"/>
      <c r="H43" s="61"/>
      <c r="I43" s="92"/>
      <c r="J43" s="73"/>
      <c r="L43" s="18"/>
      <c r="N43" s="3" t="s">
        <v>31</v>
      </c>
      <c r="T43" s="13"/>
      <c r="U43" s="13"/>
      <c r="V43" s="13"/>
      <c r="W43" s="13"/>
      <c r="X43" s="13"/>
      <c r="Y43" s="19"/>
      <c r="AA43" s="18"/>
      <c r="AB43" s="46" t="str">
        <f>CONCATENATE("                        ",U30," ) ")</f>
        <v>                        1.00 ) </v>
      </c>
      <c r="AC43" s="12"/>
      <c r="AD43" s="12"/>
      <c r="AE43" s="12"/>
      <c r="AF43" s="12"/>
      <c r="AG43" s="12"/>
      <c r="AH43" s="12"/>
      <c r="AI43" s="12"/>
      <c r="AJ43" s="12"/>
      <c r="AK43" s="19"/>
    </row>
    <row r="44" spans="1:37" ht="21.75" customHeight="1">
      <c r="A44" s="18"/>
      <c r="B44" s="5">
        <v>0.15</v>
      </c>
      <c r="C44" s="2">
        <v>42</v>
      </c>
      <c r="D44" s="2">
        <v>75</v>
      </c>
      <c r="E44" s="43">
        <f>B44*$E$40</f>
        <v>79.5</v>
      </c>
      <c r="F44" s="36">
        <v>86.97300000000001</v>
      </c>
      <c r="G44" s="31"/>
      <c r="H44" s="61"/>
      <c r="I44" s="92"/>
      <c r="J44" s="73"/>
      <c r="L44" s="18"/>
      <c r="N44" s="3" t="s">
        <v>63</v>
      </c>
      <c r="T44" s="13"/>
      <c r="U44" s="13"/>
      <c r="V44" s="13"/>
      <c r="W44" s="13"/>
      <c r="X44" s="13"/>
      <c r="Y44" s="19"/>
      <c r="AA44" s="18"/>
      <c r="AB44" s="46" t="str">
        <f>CONCATENATE("   INDEPENDENT-2    = ","("," ",V15,", ",V16,", ",V17,", ",V18,", ",V19)</f>
        <v>   INDEPENDENT-2    = ( 33, 33, 33, 33, 33</v>
      </c>
      <c r="AC44" s="12"/>
      <c r="AD44" s="12"/>
      <c r="AE44" s="12"/>
      <c r="AF44" s="12"/>
      <c r="AG44" s="12"/>
      <c r="AH44" s="12"/>
      <c r="AI44" s="12"/>
      <c r="AJ44" s="12"/>
      <c r="AK44" s="19"/>
    </row>
    <row r="45" spans="1:37" ht="21.75" customHeight="1">
      <c r="A45" s="18"/>
      <c r="B45" s="5">
        <v>1</v>
      </c>
      <c r="C45" s="2">
        <v>45</v>
      </c>
      <c r="D45" s="2">
        <v>60</v>
      </c>
      <c r="E45" s="40">
        <f>E26</f>
        <v>535</v>
      </c>
      <c r="F45" s="35">
        <f>E26*F26</f>
        <v>227.375</v>
      </c>
      <c r="G45" s="94" t="s">
        <v>69</v>
      </c>
      <c r="H45" s="61"/>
      <c r="I45" s="92"/>
      <c r="J45" s="73"/>
      <c r="L45" s="18"/>
      <c r="N45" s="86" t="s">
        <v>58</v>
      </c>
      <c r="O45" s="38">
        <f>E15</f>
        <v>530</v>
      </c>
      <c r="P45" s="3" t="s">
        <v>30</v>
      </c>
      <c r="T45" s="13"/>
      <c r="U45" s="13"/>
      <c r="V45" s="13"/>
      <c r="W45" s="13"/>
      <c r="X45" s="13"/>
      <c r="Y45" s="19"/>
      <c r="AA45" s="18"/>
      <c r="AB45" s="46" t="str">
        <f>CONCATENATE("                        ",V20,", ",V21,", ",V22,", ",V23,", ",V24,", ")</f>
        <v>                        15, 15, 15, 15, 15, </v>
      </c>
      <c r="AC45" s="12"/>
      <c r="AD45" s="12"/>
      <c r="AE45" s="12"/>
      <c r="AF45" s="12"/>
      <c r="AG45" s="12"/>
      <c r="AH45" s="12"/>
      <c r="AI45" s="12"/>
      <c r="AJ45" s="12"/>
      <c r="AK45" s="19"/>
    </row>
    <row r="46" spans="1:37" ht="21.75" customHeight="1">
      <c r="A46" s="18"/>
      <c r="B46" s="5">
        <v>0.9</v>
      </c>
      <c r="C46" s="2">
        <v>45</v>
      </c>
      <c r="D46" s="2">
        <v>60</v>
      </c>
      <c r="E46" s="43">
        <f>B46*$E$45</f>
        <v>481.5</v>
      </c>
      <c r="F46" s="36">
        <v>200.304</v>
      </c>
      <c r="G46" s="31"/>
      <c r="H46" s="61"/>
      <c r="I46" s="92"/>
      <c r="J46" s="73"/>
      <c r="L46" s="18"/>
      <c r="N46" s="78" t="s">
        <v>61</v>
      </c>
      <c r="O46" s="33">
        <f>G15</f>
        <v>0.15211833333333333</v>
      </c>
      <c r="P46" s="3"/>
      <c r="Q46" s="62"/>
      <c r="R46" s="62"/>
      <c r="S46" s="62"/>
      <c r="T46" s="62"/>
      <c r="U46" s="13"/>
      <c r="V46" s="13"/>
      <c r="W46" s="13"/>
      <c r="X46" s="62"/>
      <c r="Y46" s="19"/>
      <c r="AA46" s="18"/>
      <c r="AB46" s="46" t="str">
        <f>CONCATENATE("                        ",V25,", ",V26,", ",V27,", ",V28,", ",V29,", ")</f>
        <v>                        15, 15, 15, 15, 15, </v>
      </c>
      <c r="AC46" s="12"/>
      <c r="AD46" s="12"/>
      <c r="AE46" s="12"/>
      <c r="AF46" s="12"/>
      <c r="AG46" s="12"/>
      <c r="AH46" s="12"/>
      <c r="AI46" s="12"/>
      <c r="AJ46" s="12"/>
      <c r="AK46" s="19"/>
    </row>
    <row r="47" spans="1:37" ht="21.75" customHeight="1">
      <c r="A47" s="18"/>
      <c r="B47" s="5">
        <v>0.8</v>
      </c>
      <c r="C47" s="2">
        <v>45</v>
      </c>
      <c r="D47" s="2">
        <v>60</v>
      </c>
      <c r="E47" s="43">
        <f aca="true" t="shared" si="10" ref="E47:E54">B47*$E$45</f>
        <v>428</v>
      </c>
      <c r="F47" s="36">
        <v>181.04399999999998</v>
      </c>
      <c r="G47" s="31"/>
      <c r="H47" s="61"/>
      <c r="I47" s="92"/>
      <c r="J47" s="73"/>
      <c r="L47" s="18"/>
      <c r="M47" s="45" t="s">
        <v>60</v>
      </c>
      <c r="N47" s="109" t="s">
        <v>28</v>
      </c>
      <c r="O47" s="109"/>
      <c r="P47" s="109"/>
      <c r="Q47" s="109"/>
      <c r="R47" s="109"/>
      <c r="S47" s="109"/>
      <c r="T47" s="109"/>
      <c r="U47" s="109"/>
      <c r="V47" s="109"/>
      <c r="W47" s="109"/>
      <c r="X47" s="62"/>
      <c r="Y47" s="19"/>
      <c r="AA47" s="18"/>
      <c r="AB47" s="46" t="str">
        <f>CONCATENATE("                        ",V30," ) ")</f>
        <v>                        7 ) </v>
      </c>
      <c r="AC47" s="12"/>
      <c r="AD47" s="12"/>
      <c r="AE47" s="12"/>
      <c r="AF47" s="12"/>
      <c r="AG47" s="12"/>
      <c r="AH47" s="12"/>
      <c r="AI47" s="12"/>
      <c r="AJ47" s="12"/>
      <c r="AK47" s="19"/>
    </row>
    <row r="48" spans="1:37" ht="21.75" customHeight="1">
      <c r="A48" s="18"/>
      <c r="B48" s="5">
        <v>0.7</v>
      </c>
      <c r="C48" s="2">
        <v>45</v>
      </c>
      <c r="D48" s="2">
        <v>60</v>
      </c>
      <c r="E48" s="43">
        <f t="shared" si="10"/>
        <v>374.5</v>
      </c>
      <c r="F48" s="36">
        <v>162.533</v>
      </c>
      <c r="G48" s="31"/>
      <c r="H48" s="61"/>
      <c r="I48" s="92"/>
      <c r="J48" s="73"/>
      <c r="L48" s="18"/>
      <c r="M48" s="45" t="s">
        <v>58</v>
      </c>
      <c r="N48" s="109" t="s">
        <v>27</v>
      </c>
      <c r="O48" s="109"/>
      <c r="P48" s="109"/>
      <c r="Q48" s="109"/>
      <c r="R48" s="109"/>
      <c r="S48" s="109"/>
      <c r="T48" s="109"/>
      <c r="U48" s="109"/>
      <c r="V48" s="109"/>
      <c r="W48" s="109"/>
      <c r="Y48" s="19"/>
      <c r="AA48" s="18"/>
      <c r="AB48" s="46" t="str">
        <f>CONCATENATE("   DEPENDENT        = ","("," ",W15,", ",W16,", ",W17,", ",W18,", ",W19,", ")</f>
        <v>   DEPENDENT        = ( 1.000, 0.769, 0.640, 0.507, 0.307, </v>
      </c>
      <c r="AC48" s="12"/>
      <c r="AD48" s="12"/>
      <c r="AE48" s="12"/>
      <c r="AF48" s="12"/>
      <c r="AG48" s="12"/>
      <c r="AH48" s="12"/>
      <c r="AI48" s="12"/>
      <c r="AJ48" s="12"/>
      <c r="AK48" s="19"/>
    </row>
    <row r="49" spans="1:37" ht="21.75" customHeight="1">
      <c r="A49" s="18"/>
      <c r="B49" s="5">
        <v>0.6</v>
      </c>
      <c r="C49" s="2">
        <v>45</v>
      </c>
      <c r="D49" s="2">
        <v>60</v>
      </c>
      <c r="E49" s="43">
        <f t="shared" si="10"/>
        <v>321</v>
      </c>
      <c r="F49" s="36">
        <v>145.413</v>
      </c>
      <c r="G49" s="31"/>
      <c r="H49" s="61"/>
      <c r="I49" s="92"/>
      <c r="J49" s="73"/>
      <c r="L49" s="18"/>
      <c r="M49" s="45"/>
      <c r="N49" s="62"/>
      <c r="O49" s="62"/>
      <c r="P49" s="62"/>
      <c r="Q49" s="62"/>
      <c r="R49" s="62"/>
      <c r="S49" s="62"/>
      <c r="T49" s="62"/>
      <c r="U49" s="12"/>
      <c r="V49" s="12"/>
      <c r="W49" s="12"/>
      <c r="X49" s="62"/>
      <c r="Y49" s="19"/>
      <c r="AA49" s="18"/>
      <c r="AB49" s="46" t="str">
        <f>CONCATENATE("                        ",W20,", ",W21,", ",W22,", ",W23,", ",W24,", ")</f>
        <v>                        1.000, 0.881, 0.796, 0.715, 0.640, </v>
      </c>
      <c r="AC49" s="12"/>
      <c r="AD49" s="12"/>
      <c r="AE49" s="12"/>
      <c r="AF49" s="12"/>
      <c r="AG49" s="12"/>
      <c r="AH49" s="12"/>
      <c r="AI49" s="12"/>
      <c r="AJ49" s="12"/>
      <c r="AK49" s="19"/>
    </row>
    <row r="50" spans="1:37" ht="21.75" customHeight="1">
      <c r="A50" s="18"/>
      <c r="B50" s="5">
        <v>0.5</v>
      </c>
      <c r="C50" s="2">
        <v>45</v>
      </c>
      <c r="D50" s="2">
        <v>60</v>
      </c>
      <c r="E50" s="43">
        <f t="shared" si="10"/>
        <v>267.5</v>
      </c>
      <c r="F50" s="36">
        <v>127.865</v>
      </c>
      <c r="G50" s="31"/>
      <c r="H50" s="61"/>
      <c r="I50" s="92"/>
      <c r="J50" s="73"/>
      <c r="L50" s="18"/>
      <c r="M50" s="45"/>
      <c r="N50" s="62"/>
      <c r="O50" s="62"/>
      <c r="P50" s="62"/>
      <c r="Q50" s="62"/>
      <c r="R50" s="62"/>
      <c r="S50" s="62"/>
      <c r="T50" s="62"/>
      <c r="U50" s="13"/>
      <c r="V50" s="13"/>
      <c r="W50" s="13"/>
      <c r="X50" s="62"/>
      <c r="Y50" s="19"/>
      <c r="AA50" s="18"/>
      <c r="AB50" s="46" t="str">
        <f>CONCATENATE("                        ",W25,", ",W26,", ",W27,", ",W28,", ",W29,", ")</f>
        <v>                        0.562, 0.488, 0.417, 0.349, 0.268, </v>
      </c>
      <c r="AC50" s="12"/>
      <c r="AD50" s="12"/>
      <c r="AE50" s="12"/>
      <c r="AF50" s="12"/>
      <c r="AG50" s="12"/>
      <c r="AH50" s="12"/>
      <c r="AI50" s="12"/>
      <c r="AJ50" s="12"/>
      <c r="AK50" s="19"/>
    </row>
    <row r="51" spans="1:37" ht="21.75" customHeight="1" thickBot="1">
      <c r="A51" s="18"/>
      <c r="B51" s="5">
        <v>0.4</v>
      </c>
      <c r="C51" s="2">
        <v>45</v>
      </c>
      <c r="D51" s="2">
        <v>60</v>
      </c>
      <c r="E51" s="43">
        <f t="shared" si="10"/>
        <v>214</v>
      </c>
      <c r="F51" s="36">
        <v>111.066</v>
      </c>
      <c r="G51" s="31"/>
      <c r="H51" s="61"/>
      <c r="I51" s="92"/>
      <c r="J51" s="73"/>
      <c r="L51" s="20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2"/>
      <c r="AA51" s="18"/>
      <c r="AB51" s="46" t="str">
        <f>CONCATENATE("                        ",W30," ) ")</f>
        <v>                        1.000 ) </v>
      </c>
      <c r="AC51" s="12"/>
      <c r="AD51" s="12"/>
      <c r="AE51" s="12"/>
      <c r="AF51" s="12"/>
      <c r="AG51" s="12"/>
      <c r="AH51" s="12"/>
      <c r="AI51" s="12"/>
      <c r="AJ51" s="12"/>
      <c r="AK51" s="19"/>
    </row>
    <row r="52" spans="1:37" ht="21.75" customHeight="1">
      <c r="A52" s="18"/>
      <c r="B52" s="5">
        <v>0.3</v>
      </c>
      <c r="C52" s="2">
        <v>45</v>
      </c>
      <c r="D52" s="2">
        <v>60</v>
      </c>
      <c r="E52" s="43">
        <f t="shared" si="10"/>
        <v>160.5</v>
      </c>
      <c r="F52" s="36">
        <v>94.85549999999999</v>
      </c>
      <c r="G52" s="31"/>
      <c r="H52" s="61"/>
      <c r="I52" s="92"/>
      <c r="J52" s="73"/>
      <c r="AA52" s="18"/>
      <c r="AB52" s="46" t="s">
        <v>29</v>
      </c>
      <c r="AC52" s="12"/>
      <c r="AD52" s="12"/>
      <c r="AE52" s="12"/>
      <c r="AF52" s="12"/>
      <c r="AG52" s="12"/>
      <c r="AH52" s="12"/>
      <c r="AI52" s="12"/>
      <c r="AJ52" s="12"/>
      <c r="AK52" s="19"/>
    </row>
    <row r="53" spans="1:37" ht="21.75" customHeight="1">
      <c r="A53" s="18"/>
      <c r="B53" s="5">
        <v>0.2</v>
      </c>
      <c r="C53" s="2">
        <v>45</v>
      </c>
      <c r="D53" s="2">
        <v>60</v>
      </c>
      <c r="E53" s="43">
        <f t="shared" si="10"/>
        <v>107</v>
      </c>
      <c r="F53" s="36">
        <v>79.394</v>
      </c>
      <c r="G53" s="31"/>
      <c r="H53" s="61"/>
      <c r="I53" s="92"/>
      <c r="J53" s="73"/>
      <c r="AA53" s="18"/>
      <c r="AC53" s="12"/>
      <c r="AD53" s="12"/>
      <c r="AE53" s="12"/>
      <c r="AF53" s="12"/>
      <c r="AG53" s="12"/>
      <c r="AH53" s="12"/>
      <c r="AI53" s="12"/>
      <c r="AJ53" s="12"/>
      <c r="AK53" s="19"/>
    </row>
    <row r="54" spans="1:37" ht="21.75" customHeight="1">
      <c r="A54" s="18"/>
      <c r="B54" s="5">
        <v>0.1</v>
      </c>
      <c r="C54" s="2">
        <v>45</v>
      </c>
      <c r="D54" s="2">
        <v>60</v>
      </c>
      <c r="E54" s="43">
        <f t="shared" si="10"/>
        <v>53.5</v>
      </c>
      <c r="F54" s="36">
        <v>60.882999999999996</v>
      </c>
      <c r="G54" s="31"/>
      <c r="H54" s="61"/>
      <c r="I54" s="92"/>
      <c r="J54" s="73"/>
      <c r="AA54" s="18"/>
      <c r="AB54" s="46"/>
      <c r="AC54" s="12"/>
      <c r="AD54" s="12"/>
      <c r="AE54" s="12"/>
      <c r="AF54" s="12"/>
      <c r="AG54" s="12"/>
      <c r="AH54" s="12"/>
      <c r="AI54" s="12"/>
      <c r="AJ54" s="12"/>
      <c r="AK54" s="19"/>
    </row>
    <row r="55" spans="1:37" ht="21.75" customHeight="1">
      <c r="A55" s="18"/>
      <c r="B55" s="5">
        <v>1</v>
      </c>
      <c r="C55" s="2">
        <v>48</v>
      </c>
      <c r="D55" s="2">
        <v>55</v>
      </c>
      <c r="E55" s="40">
        <f>E34</f>
        <v>470</v>
      </c>
      <c r="F55" s="35">
        <f>E34*F34</f>
        <v>182.36</v>
      </c>
      <c r="G55" s="94" t="s">
        <v>69</v>
      </c>
      <c r="H55" s="61"/>
      <c r="I55" s="92"/>
      <c r="J55" s="73"/>
      <c r="AA55" s="18"/>
      <c r="AC55" s="12"/>
      <c r="AD55" s="12"/>
      <c r="AE55" s="12"/>
      <c r="AF55" s="12"/>
      <c r="AG55" s="12"/>
      <c r="AH55" s="12"/>
      <c r="AI55" s="12"/>
      <c r="AJ55" s="12"/>
      <c r="AK55" s="19"/>
    </row>
    <row r="56" spans="1:37" ht="21.75" customHeight="1" thickBot="1">
      <c r="A56" s="18"/>
      <c r="B56" s="5">
        <v>0.7</v>
      </c>
      <c r="C56" s="2">
        <v>48</v>
      </c>
      <c r="D56" s="2">
        <v>55</v>
      </c>
      <c r="E56" s="43">
        <f>B56*$E$55</f>
        <v>329</v>
      </c>
      <c r="F56" s="93" t="s">
        <v>26</v>
      </c>
      <c r="G56" s="31"/>
      <c r="H56" s="61"/>
      <c r="I56" s="77"/>
      <c r="J56" s="73"/>
      <c r="AA56" s="20"/>
      <c r="AB56" s="21"/>
      <c r="AC56" s="21"/>
      <c r="AD56" s="21"/>
      <c r="AE56" s="21"/>
      <c r="AF56" s="21"/>
      <c r="AG56" s="21"/>
      <c r="AH56" s="21"/>
      <c r="AI56" s="21"/>
      <c r="AJ56" s="21"/>
      <c r="AK56" s="22"/>
    </row>
    <row r="57" spans="1:10" ht="21.75" customHeight="1">
      <c r="A57" s="18"/>
      <c r="B57" s="5">
        <v>0.5</v>
      </c>
      <c r="C57" s="2">
        <v>48</v>
      </c>
      <c r="D57" s="2">
        <v>55</v>
      </c>
      <c r="E57" s="43">
        <f>B57*$E$55</f>
        <v>235</v>
      </c>
      <c r="F57" s="93" t="s">
        <v>26</v>
      </c>
      <c r="G57" s="31"/>
      <c r="H57" s="61"/>
      <c r="I57" s="77"/>
      <c r="J57" s="73"/>
    </row>
    <row r="58" spans="1:10" ht="21.75" customHeight="1">
      <c r="A58" s="18"/>
      <c r="B58" s="5">
        <v>0.3</v>
      </c>
      <c r="C58" s="2">
        <v>48</v>
      </c>
      <c r="D58" s="2">
        <v>55</v>
      </c>
      <c r="E58" s="43">
        <f>B58*$E$55</f>
        <v>141</v>
      </c>
      <c r="F58" s="93" t="s">
        <v>26</v>
      </c>
      <c r="G58" s="31"/>
      <c r="H58" s="61"/>
      <c r="J58" s="73"/>
    </row>
    <row r="59" spans="1:10" ht="21.75" customHeight="1">
      <c r="A59" s="18"/>
      <c r="B59" s="5">
        <v>0.1</v>
      </c>
      <c r="C59" s="2">
        <v>48</v>
      </c>
      <c r="D59" s="2">
        <v>55</v>
      </c>
      <c r="E59" s="43">
        <f>B59*$E$55</f>
        <v>47</v>
      </c>
      <c r="F59" s="93" t="s">
        <v>26</v>
      </c>
      <c r="G59" s="31"/>
      <c r="H59" s="61"/>
      <c r="J59" s="73"/>
    </row>
    <row r="60" spans="1:10" ht="21.75" customHeight="1">
      <c r="A60" s="18"/>
      <c r="E60" s="25" t="s">
        <v>6</v>
      </c>
      <c r="J60" s="19"/>
    </row>
    <row r="61" spans="1:10" ht="21.75" customHeight="1">
      <c r="A61" s="18"/>
      <c r="E61" s="25" t="s">
        <v>7</v>
      </c>
      <c r="J61" s="19"/>
    </row>
    <row r="62" spans="1:10" ht="21.75" customHeight="1" thickBot="1">
      <c r="A62" s="20"/>
      <c r="B62" s="27"/>
      <c r="C62" s="27"/>
      <c r="D62" s="27"/>
      <c r="E62" s="27"/>
      <c r="F62" s="27"/>
      <c r="G62" s="27"/>
      <c r="H62" s="27"/>
      <c r="I62" s="21"/>
      <c r="J62" s="22"/>
    </row>
  </sheetData>
  <sheetProtection/>
  <mergeCells count="4">
    <mergeCell ref="Q2:R2"/>
    <mergeCell ref="E13:F13"/>
    <mergeCell ref="N47:W47"/>
    <mergeCell ref="N48:W48"/>
  </mergeCells>
  <printOptions/>
  <pageMargins left="0.7" right="0.7" top="0.75" bottom="0.75" header="0.3" footer="0.3"/>
  <pageSetup fitToHeight="1" fitToWidth="1" horizontalDpi="600" verticalDpi="600" orientation="landscape" paperSize="17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CDi Engineers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McClanathan</dc:creator>
  <cp:keywords/>
  <dc:description/>
  <cp:lastModifiedBy>Timothy Howe</cp:lastModifiedBy>
  <cp:lastPrinted>2011-05-25T16:25:16Z</cp:lastPrinted>
  <dcterms:created xsi:type="dcterms:W3CDTF">2009-11-18T18:58:15Z</dcterms:created>
  <dcterms:modified xsi:type="dcterms:W3CDTF">2012-04-06T12:55:18Z</dcterms:modified>
  <cp:category/>
  <cp:version/>
  <cp:contentType/>
  <cp:contentStatus/>
</cp:coreProperties>
</file>