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mbeddings/oleObject7.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embeddings/oleObject3.bin" ContentType="application/vnd.openxmlformats-officedocument.oleObject"/>
  <Override PartName="/xl/embeddings/oleObject4.bin" ContentType="application/vnd.openxmlformats-officedocument.oleObject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6" windowWidth="14664" windowHeight="9000"/>
  </bookViews>
  <sheets>
    <sheet name="Input-Output" sheetId="11" r:id="rId1"/>
    <sheet name="SMMR-Calcs" sheetId="2" r:id="rId2"/>
    <sheet name="WNTR-Calcs" sheetId="23" r:id="rId3"/>
    <sheet name="HRB-Apt-Pressurization  Vnt-Exh" sheetId="18" r:id="rId4"/>
    <sheet name="Bldg-Stck-Eff-Theory" sheetId="16" r:id="rId5"/>
    <sheet name="Ref-Psychro-EQNs" sheetId="17" r:id="rId6"/>
  </sheets>
  <definedNames>
    <definedName name="_xlnm.Print_Titles" localSheetId="1">'SMMR-Calcs'!$8:$9</definedName>
    <definedName name="_xlnm.Print_Titles" localSheetId="2">'WNTR-Calcs'!$8:$9</definedName>
  </definedNames>
  <calcPr calcId="125725"/>
</workbook>
</file>

<file path=xl/calcChain.xml><?xml version="1.0" encoding="utf-8"?>
<calcChain xmlns="http://schemas.openxmlformats.org/spreadsheetml/2006/main">
  <c r="CI18" i="11"/>
  <c r="CI17"/>
  <c r="CI16"/>
  <c r="CI15"/>
  <c r="CI14"/>
  <c r="CI13"/>
  <c r="CI12"/>
  <c r="DR18"/>
  <c r="DR17"/>
  <c r="DR16"/>
  <c r="DR15"/>
  <c r="DR14"/>
  <c r="DR13"/>
  <c r="DR12"/>
  <c r="DJ18"/>
  <c r="DJ17"/>
  <c r="DJ16"/>
  <c r="DJ15"/>
  <c r="DJ14"/>
  <c r="DJ13"/>
  <c r="DJ12"/>
  <c r="CQ17"/>
  <c r="CQ16"/>
  <c r="CQ15"/>
  <c r="CQ14"/>
  <c r="CQ13"/>
  <c r="CQ12"/>
  <c r="U2" i="23"/>
  <c r="BI36" i="11"/>
  <c r="BH36"/>
  <c r="BG36"/>
  <c r="BC36"/>
  <c r="BB36"/>
  <c r="BI19"/>
  <c r="BH19"/>
  <c r="BG19"/>
  <c r="BC19"/>
  <c r="BB19"/>
  <c r="BI18"/>
  <c r="BH18"/>
  <c r="BG18"/>
  <c r="BC18"/>
  <c r="BB18"/>
  <c r="AV5" i="23" l="1"/>
  <c r="M79"/>
  <c r="DC74" i="11" s="1"/>
  <c r="L79" i="23"/>
  <c r="DB74" i="11" s="1"/>
  <c r="C79" i="23"/>
  <c r="AG79" s="1"/>
  <c r="AK79" s="1"/>
  <c r="B79"/>
  <c r="AF79" s="1"/>
  <c r="C78"/>
  <c r="AG78" s="1"/>
  <c r="AK78" s="1"/>
  <c r="AI77"/>
  <c r="AC77"/>
  <c r="Z77"/>
  <c r="B77"/>
  <c r="AF77" s="1"/>
  <c r="C76"/>
  <c r="AG76" s="1"/>
  <c r="AK76" s="1"/>
  <c r="C75"/>
  <c r="AG75" s="1"/>
  <c r="AK75" s="1"/>
  <c r="C74"/>
  <c r="AG74" s="1"/>
  <c r="AK74" s="1"/>
  <c r="AI73"/>
  <c r="AC73"/>
  <c r="Z73"/>
  <c r="B73"/>
  <c r="AF73" s="1"/>
  <c r="C72"/>
  <c r="AG72" s="1"/>
  <c r="AK72" s="1"/>
  <c r="C71"/>
  <c r="AG71" s="1"/>
  <c r="AK71" s="1"/>
  <c r="C70"/>
  <c r="AG70" s="1"/>
  <c r="AK70" s="1"/>
  <c r="C69"/>
  <c r="AG69" s="1"/>
  <c r="AK69" s="1"/>
  <c r="C68"/>
  <c r="AG68" s="1"/>
  <c r="AK68" s="1"/>
  <c r="C67"/>
  <c r="AG67" s="1"/>
  <c r="AK67" s="1"/>
  <c r="AI66"/>
  <c r="AC66"/>
  <c r="Z66"/>
  <c r="B66"/>
  <c r="AF66" s="1"/>
  <c r="C65"/>
  <c r="AG65" s="1"/>
  <c r="AK65" s="1"/>
  <c r="C64"/>
  <c r="AG64" s="1"/>
  <c r="AK64" s="1"/>
  <c r="C63"/>
  <c r="AG63" s="1"/>
  <c r="AK63" s="1"/>
  <c r="C62"/>
  <c r="AG62" s="1"/>
  <c r="AK62" s="1"/>
  <c r="C55"/>
  <c r="AG55" s="1"/>
  <c r="AK55" s="1"/>
  <c r="C54"/>
  <c r="AG54" s="1"/>
  <c r="AK54" s="1"/>
  <c r="C53"/>
  <c r="AG53" s="1"/>
  <c r="AK53" s="1"/>
  <c r="C52"/>
  <c r="AG52" s="1"/>
  <c r="AK52" s="1"/>
  <c r="C51"/>
  <c r="AG51" s="1"/>
  <c r="AK51" s="1"/>
  <c r="C50"/>
  <c r="AG50" s="1"/>
  <c r="AK50" s="1"/>
  <c r="C49"/>
  <c r="AG49" s="1"/>
  <c r="AK49" s="1"/>
  <c r="AI48"/>
  <c r="AC48"/>
  <c r="Z48"/>
  <c r="B48"/>
  <c r="AF48" s="1"/>
  <c r="C47"/>
  <c r="AG47" s="1"/>
  <c r="AK47" s="1"/>
  <c r="C46"/>
  <c r="AG46" s="1"/>
  <c r="AK46" s="1"/>
  <c r="C45"/>
  <c r="AG45" s="1"/>
  <c r="AK45" s="1"/>
  <c r="C44"/>
  <c r="AG44" s="1"/>
  <c r="AK44" s="1"/>
  <c r="C43"/>
  <c r="AG43" s="1"/>
  <c r="AK43" s="1"/>
  <c r="C42"/>
  <c r="AG42" s="1"/>
  <c r="AK42" s="1"/>
  <c r="AI41"/>
  <c r="AC41"/>
  <c r="Z41"/>
  <c r="B41"/>
  <c r="AF41" s="1"/>
  <c r="C40"/>
  <c r="AG40" s="1"/>
  <c r="AK40" s="1"/>
  <c r="C39"/>
  <c r="AG39" s="1"/>
  <c r="AK39" s="1"/>
  <c r="C38"/>
  <c r="AG38" s="1"/>
  <c r="AK38" s="1"/>
  <c r="C37"/>
  <c r="AG37" s="1"/>
  <c r="AK37" s="1"/>
  <c r="C36"/>
  <c r="AG36" s="1"/>
  <c r="AK36" s="1"/>
  <c r="C35"/>
  <c r="AG35" s="1"/>
  <c r="AK35" s="1"/>
  <c r="C34"/>
  <c r="AG34" s="1"/>
  <c r="AK34" s="1"/>
  <c r="C33"/>
  <c r="AG33" s="1"/>
  <c r="AK33" s="1"/>
  <c r="C32"/>
  <c r="AG32" s="1"/>
  <c r="AK32" s="1"/>
  <c r="C31"/>
  <c r="AG31" s="1"/>
  <c r="AK31" s="1"/>
  <c r="C30"/>
  <c r="AG30" s="1"/>
  <c r="AK30" s="1"/>
  <c r="C29"/>
  <c r="AG29" s="1"/>
  <c r="AK29" s="1"/>
  <c r="C28"/>
  <c r="AG28" s="1"/>
  <c r="AK28" s="1"/>
  <c r="AI27"/>
  <c r="AC27"/>
  <c r="Z27"/>
  <c r="B27"/>
  <c r="AF27" s="1"/>
  <c r="C26"/>
  <c r="AG26" s="1"/>
  <c r="AK26" s="1"/>
  <c r="C25"/>
  <c r="AG25" s="1"/>
  <c r="AK25" s="1"/>
  <c r="C18"/>
  <c r="AG18" s="1"/>
  <c r="AK18" s="1"/>
  <c r="C17"/>
  <c r="AG17" s="1"/>
  <c r="AK17" s="1"/>
  <c r="C16"/>
  <c r="AG16" s="1"/>
  <c r="AK16" s="1"/>
  <c r="C15"/>
  <c r="AG15" s="1"/>
  <c r="AK15" s="1"/>
  <c r="AI14"/>
  <c r="AC14"/>
  <c r="Z14"/>
  <c r="B14"/>
  <c r="AF14" s="1"/>
  <c r="C13"/>
  <c r="AG13" s="1"/>
  <c r="AK13" s="1"/>
  <c r="C12"/>
  <c r="AG12" s="1"/>
  <c r="AK12" s="1"/>
  <c r="C11"/>
  <c r="AG11" s="1"/>
  <c r="AK11" s="1"/>
  <c r="AI10"/>
  <c r="AC10"/>
  <c r="Z10"/>
  <c r="B10"/>
  <c r="AF10" s="1"/>
  <c r="M6"/>
  <c r="L6"/>
  <c r="M5"/>
  <c r="U5" s="1"/>
  <c r="W5" s="1"/>
  <c r="L5"/>
  <c r="T5" s="1"/>
  <c r="Y5" s="1"/>
  <c r="K5"/>
  <c r="G5"/>
  <c r="H5" s="1"/>
  <c r="D2"/>
  <c r="L79" i="2"/>
  <c r="C26"/>
  <c r="AG26" s="1"/>
  <c r="AK26" s="1"/>
  <c r="C25"/>
  <c r="AG25" s="1"/>
  <c r="AK25" s="1"/>
  <c r="C18"/>
  <c r="AG18" s="1"/>
  <c r="AK18" s="1"/>
  <c r="C17"/>
  <c r="AG17" s="1"/>
  <c r="AK17" s="1"/>
  <c r="C16"/>
  <c r="AG16" s="1"/>
  <c r="AK16" s="1"/>
  <c r="C15"/>
  <c r="AG15" s="1"/>
  <c r="AK15" s="1"/>
  <c r="C40"/>
  <c r="AG40" s="1"/>
  <c r="AK40" s="1"/>
  <c r="C39"/>
  <c r="AG39" s="1"/>
  <c r="AK39" s="1"/>
  <c r="C38"/>
  <c r="AG38" s="1"/>
  <c r="AK38" s="1"/>
  <c r="C37"/>
  <c r="AG37" s="1"/>
  <c r="AK37" s="1"/>
  <c r="C36"/>
  <c r="AG36" s="1"/>
  <c r="AK36" s="1"/>
  <c r="C35"/>
  <c r="AG35" s="1"/>
  <c r="AK35" s="1"/>
  <c r="C34"/>
  <c r="AG34" s="1"/>
  <c r="AK34" s="1"/>
  <c r="C33"/>
  <c r="AG33" s="1"/>
  <c r="AK33" s="1"/>
  <c r="C32"/>
  <c r="AG32" s="1"/>
  <c r="AK32" s="1"/>
  <c r="C31"/>
  <c r="AG31" s="1"/>
  <c r="AK31" s="1"/>
  <c r="C30"/>
  <c r="AG30" s="1"/>
  <c r="AK30" s="1"/>
  <c r="C29"/>
  <c r="AG29" s="1"/>
  <c r="AK29" s="1"/>
  <c r="C28"/>
  <c r="AG28" s="1"/>
  <c r="AK28" s="1"/>
  <c r="C47"/>
  <c r="AG47" s="1"/>
  <c r="AK47" s="1"/>
  <c r="C46"/>
  <c r="AG46" s="1"/>
  <c r="AK46" s="1"/>
  <c r="C45"/>
  <c r="AG45" s="1"/>
  <c r="AK45" s="1"/>
  <c r="C44"/>
  <c r="AG44" s="1"/>
  <c r="AK44" s="1"/>
  <c r="C43"/>
  <c r="AG43" s="1"/>
  <c r="AK43" s="1"/>
  <c r="C42"/>
  <c r="AG42" s="1"/>
  <c r="AK42" s="1"/>
  <c r="C65"/>
  <c r="AG65" s="1"/>
  <c r="AK65" s="1"/>
  <c r="C64"/>
  <c r="AG64" s="1"/>
  <c r="AK64" s="1"/>
  <c r="C63"/>
  <c r="AG63" s="1"/>
  <c r="AK63" s="1"/>
  <c r="C62"/>
  <c r="AG62" s="1"/>
  <c r="AK62" s="1"/>
  <c r="C55"/>
  <c r="AG55" s="1"/>
  <c r="AK55" s="1"/>
  <c r="C54"/>
  <c r="AG54" s="1"/>
  <c r="AK54" s="1"/>
  <c r="C53"/>
  <c r="AG53" s="1"/>
  <c r="AK53" s="1"/>
  <c r="C52"/>
  <c r="AG52" s="1"/>
  <c r="AK52" s="1"/>
  <c r="C51"/>
  <c r="AG51" s="1"/>
  <c r="AK51" s="1"/>
  <c r="C50"/>
  <c r="AG50" s="1"/>
  <c r="AK50" s="1"/>
  <c r="C49"/>
  <c r="AG49" s="1"/>
  <c r="AK49" s="1"/>
  <c r="C72"/>
  <c r="AG72" s="1"/>
  <c r="AK72" s="1"/>
  <c r="C71"/>
  <c r="AG71" s="1"/>
  <c r="AK71" s="1"/>
  <c r="C70"/>
  <c r="AG70" s="1"/>
  <c r="AK70" s="1"/>
  <c r="C69"/>
  <c r="AG69" s="1"/>
  <c r="AK69" s="1"/>
  <c r="C68"/>
  <c r="AG68" s="1"/>
  <c r="AK68" s="1"/>
  <c r="C67"/>
  <c r="AG67" s="1"/>
  <c r="AK67" s="1"/>
  <c r="CU8" i="11"/>
  <c r="CU7"/>
  <c r="CU6"/>
  <c r="CU21"/>
  <c r="CU20"/>
  <c r="CU13"/>
  <c r="CU12"/>
  <c r="CU11"/>
  <c r="CU10"/>
  <c r="CU35"/>
  <c r="CU34"/>
  <c r="CU33"/>
  <c r="CU32"/>
  <c r="CU31"/>
  <c r="CU30"/>
  <c r="CU29"/>
  <c r="CU28"/>
  <c r="CU27"/>
  <c r="CU26"/>
  <c r="CU25"/>
  <c r="CU24"/>
  <c r="CU23"/>
  <c r="CU42"/>
  <c r="CU41"/>
  <c r="CU40"/>
  <c r="CU39"/>
  <c r="CU38"/>
  <c r="CU37"/>
  <c r="CU60"/>
  <c r="CU59"/>
  <c r="CU58"/>
  <c r="CU57"/>
  <c r="CU50"/>
  <c r="CU49"/>
  <c r="CU48"/>
  <c r="CU47"/>
  <c r="CU46"/>
  <c r="CU45"/>
  <c r="CU44"/>
  <c r="CU67"/>
  <c r="CU66"/>
  <c r="CU65"/>
  <c r="CU64"/>
  <c r="CU63"/>
  <c r="CU62"/>
  <c r="BT21"/>
  <c r="BT20"/>
  <c r="BT13"/>
  <c r="BT12"/>
  <c r="BT11"/>
  <c r="BT10"/>
  <c r="BT35"/>
  <c r="BT34"/>
  <c r="BT33"/>
  <c r="BT32"/>
  <c r="BT31"/>
  <c r="BT30"/>
  <c r="BT29"/>
  <c r="BT28"/>
  <c r="BT27"/>
  <c r="BT26"/>
  <c r="BT25"/>
  <c r="BT24"/>
  <c r="BT23"/>
  <c r="BT60"/>
  <c r="BT59"/>
  <c r="BT58"/>
  <c r="BT57"/>
  <c r="BT50"/>
  <c r="BT49"/>
  <c r="BT48"/>
  <c r="BT47"/>
  <c r="BT46"/>
  <c r="BT45"/>
  <c r="BT44"/>
  <c r="BT67"/>
  <c r="BT66"/>
  <c r="BT65"/>
  <c r="BT64"/>
  <c r="BT63"/>
  <c r="BT62"/>
  <c r="BP11"/>
  <c r="BP20"/>
  <c r="BP24"/>
  <c r="BL56"/>
  <c r="BP59"/>
  <c r="BP60"/>
  <c r="W74"/>
  <c r="W73"/>
  <c r="W72"/>
  <c r="W71"/>
  <c r="W68"/>
  <c r="W67"/>
  <c r="W66"/>
  <c r="W65"/>
  <c r="W64"/>
  <c r="W63"/>
  <c r="W62"/>
  <c r="W61"/>
  <c r="W60"/>
  <c r="W59"/>
  <c r="W58"/>
  <c r="W57"/>
  <c r="W56"/>
  <c r="W55"/>
  <c r="W52"/>
  <c r="W51"/>
  <c r="W50"/>
  <c r="W49"/>
  <c r="W48"/>
  <c r="W47"/>
  <c r="W46"/>
  <c r="W45"/>
  <c r="W44"/>
  <c r="W43"/>
  <c r="W42"/>
  <c r="W41"/>
  <c r="W40"/>
  <c r="W39"/>
  <c r="W38"/>
  <c r="W37"/>
  <c r="W36"/>
  <c r="T74"/>
  <c r="T73"/>
  <c r="T72"/>
  <c r="T71"/>
  <c r="T68"/>
  <c r="T67"/>
  <c r="T66"/>
  <c r="T65"/>
  <c r="T64"/>
  <c r="T63"/>
  <c r="T62"/>
  <c r="T61"/>
  <c r="T60"/>
  <c r="T59"/>
  <c r="T58"/>
  <c r="T57"/>
  <c r="T56"/>
  <c r="T55"/>
  <c r="T52"/>
  <c r="T51"/>
  <c r="T50"/>
  <c r="T49"/>
  <c r="T48"/>
  <c r="T47"/>
  <c r="T46"/>
  <c r="T45"/>
  <c r="T44"/>
  <c r="T43"/>
  <c r="T42"/>
  <c r="T41"/>
  <c r="T40"/>
  <c r="T39"/>
  <c r="T38"/>
  <c r="T37"/>
  <c r="T36"/>
  <c r="W35"/>
  <c r="T35"/>
  <c r="W34"/>
  <c r="T34"/>
  <c r="W33"/>
  <c r="T33"/>
  <c r="W32"/>
  <c r="T32"/>
  <c r="W31"/>
  <c r="T31"/>
  <c r="AK10" i="23" l="1"/>
  <c r="AK77"/>
  <c r="BL55" i="11"/>
  <c r="C61" i="23"/>
  <c r="AG61" s="1"/>
  <c r="AK61" s="1"/>
  <c r="AK66"/>
  <c r="T79"/>
  <c r="T6" s="1"/>
  <c r="AK27"/>
  <c r="AK41"/>
  <c r="AK73"/>
  <c r="U79"/>
  <c r="J5"/>
  <c r="I5" s="1"/>
  <c r="Z5"/>
  <c r="BT55" i="11"/>
  <c r="CU55"/>
  <c r="BT56"/>
  <c r="CU56"/>
  <c r="C61" i="2"/>
  <c r="AG61" s="1"/>
  <c r="AK61" s="1"/>
  <c r="BL54" i="11"/>
  <c r="C59" i="23" s="1"/>
  <c r="AG59" s="1"/>
  <c r="AK59" s="1"/>
  <c r="BB68" i="11"/>
  <c r="AC77" i="2"/>
  <c r="AC73"/>
  <c r="AC66"/>
  <c r="AC48"/>
  <c r="AC41"/>
  <c r="AC27"/>
  <c r="AC14"/>
  <c r="AC10"/>
  <c r="Y79" i="23" l="1"/>
  <c r="Z79" s="1"/>
  <c r="C60" i="2"/>
  <c r="AG60" s="1"/>
  <c r="AK60" s="1"/>
  <c r="C60" i="23"/>
  <c r="AG60" s="1"/>
  <c r="AK60" s="1"/>
  <c r="AC5"/>
  <c r="W79"/>
  <c r="U6"/>
  <c r="X5"/>
  <c r="O5" s="1"/>
  <c r="AA5" s="1"/>
  <c r="AB5" s="1"/>
  <c r="N5" s="1"/>
  <c r="CU54" i="11"/>
  <c r="BT54"/>
  <c r="C59" i="2"/>
  <c r="AG59" s="1"/>
  <c r="AK59" s="1"/>
  <c r="BL53" i="11"/>
  <c r="C58" i="23" s="1"/>
  <c r="AG58" s="1"/>
  <c r="AK58" s="1"/>
  <c r="CA74" i="11"/>
  <c r="P5" i="23" l="1"/>
  <c r="Q5"/>
  <c r="R5" s="1"/>
  <c r="S5"/>
  <c r="CU53" i="11"/>
  <c r="BT53"/>
  <c r="C58" i="2"/>
  <c r="AG58" s="1"/>
  <c r="AK58" s="1"/>
  <c r="BL52" i="11"/>
  <c r="C57" i="23" s="1"/>
  <c r="AG57" s="1"/>
  <c r="AK57" s="1"/>
  <c r="BP74" i="11"/>
  <c r="BP73"/>
  <c r="BP71"/>
  <c r="BP70"/>
  <c r="BP69"/>
  <c r="BP67"/>
  <c r="BP66"/>
  <c r="BP65"/>
  <c r="BP64"/>
  <c r="BP58"/>
  <c r="BP50"/>
  <c r="BP49"/>
  <c r="BP48"/>
  <c r="BP47"/>
  <c r="BP46"/>
  <c r="BP45"/>
  <c r="BP44"/>
  <c r="BP42"/>
  <c r="BP41"/>
  <c r="BP40"/>
  <c r="BP39"/>
  <c r="BP38"/>
  <c r="BP37"/>
  <c r="BP35"/>
  <c r="BP34"/>
  <c r="BP33"/>
  <c r="BP31"/>
  <c r="BP30"/>
  <c r="BP29"/>
  <c r="BP28"/>
  <c r="BP27"/>
  <c r="BP26"/>
  <c r="BP25"/>
  <c r="BP23"/>
  <c r="BP21"/>
  <c r="BP13"/>
  <c r="BP12"/>
  <c r="BP10"/>
  <c r="BP8"/>
  <c r="BP7"/>
  <c r="BP6"/>
  <c r="BP72" l="1"/>
  <c r="C57" i="2"/>
  <c r="AG57" s="1"/>
  <c r="AK57" s="1"/>
  <c r="CU52" i="11"/>
  <c r="BT52"/>
  <c r="BL51"/>
  <c r="C56" i="23" s="1"/>
  <c r="AG56" s="1"/>
  <c r="AK56" s="1"/>
  <c r="AK48" s="1"/>
  <c r="BP36" i="11"/>
  <c r="BP68"/>
  <c r="BP5"/>
  <c r="BP61"/>
  <c r="AI77" i="2"/>
  <c r="AI73"/>
  <c r="AI66"/>
  <c r="AI48"/>
  <c r="AI41"/>
  <c r="AI27"/>
  <c r="AI10"/>
  <c r="AI14"/>
  <c r="B77"/>
  <c r="AF77" s="1"/>
  <c r="C56" l="1"/>
  <c r="AG56" s="1"/>
  <c r="AK56" s="1"/>
  <c r="CU51" i="11"/>
  <c r="BT51"/>
  <c r="B73" i="2"/>
  <c r="AF73" s="1"/>
  <c r="B66"/>
  <c r="AF66" s="1"/>
  <c r="B48"/>
  <c r="AF48" s="1"/>
  <c r="B41"/>
  <c r="AF41" s="1"/>
  <c r="B27"/>
  <c r="AF27" s="1"/>
  <c r="B14"/>
  <c r="AF14" s="1"/>
  <c r="B10"/>
  <c r="AF10" s="1"/>
  <c r="Z77" l="1"/>
  <c r="Z73"/>
  <c r="Z66"/>
  <c r="Z48"/>
  <c r="Z41"/>
  <c r="Z27"/>
  <c r="Z14"/>
  <c r="Z10"/>
  <c r="C11" l="1"/>
  <c r="AG11" s="1"/>
  <c r="AK11" s="1"/>
  <c r="BT8" i="11" l="1"/>
  <c r="BT7"/>
  <c r="BT6"/>
  <c r="BT42"/>
  <c r="BT41"/>
  <c r="BT40"/>
  <c r="BT39"/>
  <c r="BT38"/>
  <c r="BT37"/>
  <c r="BT71"/>
  <c r="BT70"/>
  <c r="BT69"/>
  <c r="BV5"/>
  <c r="BS5"/>
  <c r="BV9"/>
  <c r="BS9"/>
  <c r="BV22"/>
  <c r="BS22"/>
  <c r="BV36"/>
  <c r="BS36"/>
  <c r="BV43"/>
  <c r="BS43"/>
  <c r="BV61"/>
  <c r="BS61"/>
  <c r="BV68"/>
  <c r="BS68"/>
  <c r="BV72"/>
  <c r="BS72"/>
  <c r="BT74"/>
  <c r="BS74"/>
  <c r="BT73"/>
  <c r="CU71" l="1"/>
  <c r="CU70"/>
  <c r="CU69"/>
  <c r="CW5"/>
  <c r="CT5"/>
  <c r="CW9"/>
  <c r="CT9"/>
  <c r="CW22"/>
  <c r="CT22"/>
  <c r="CW36"/>
  <c r="CT36"/>
  <c r="CW43"/>
  <c r="CT43"/>
  <c r="CW61"/>
  <c r="CT61"/>
  <c r="CW68"/>
  <c r="CT68"/>
  <c r="CW72"/>
  <c r="CT72"/>
  <c r="CU73"/>
  <c r="CU74"/>
  <c r="CT74"/>
  <c r="BM6"/>
  <c r="BL19"/>
  <c r="BM22"/>
  <c r="BM37"/>
  <c r="DJ58" l="1"/>
  <c r="DR58"/>
  <c r="CQ58"/>
  <c r="DR43"/>
  <c r="CQ43"/>
  <c r="DJ43"/>
  <c r="DJ74"/>
  <c r="DR74"/>
  <c r="CQ74"/>
  <c r="D27" i="23"/>
  <c r="AH27" s="1"/>
  <c r="C24" i="2"/>
  <c r="AG24" s="1"/>
  <c r="AK24" s="1"/>
  <c r="C24" i="23"/>
  <c r="AG24" s="1"/>
  <c r="AK24" s="1"/>
  <c r="D42"/>
  <c r="D11"/>
  <c r="CI58" i="11"/>
  <c r="CI74"/>
  <c r="CV6"/>
  <c r="D42" i="2"/>
  <c r="CI43" i="11"/>
  <c r="CV37"/>
  <c r="CU19"/>
  <c r="BT19"/>
  <c r="D27" i="2"/>
  <c r="AH27" s="1"/>
  <c r="BU22" i="11"/>
  <c r="BO6"/>
  <c r="D11" i="2"/>
  <c r="AQ11" s="1"/>
  <c r="BU6" i="11"/>
  <c r="BP57"/>
  <c r="CV22"/>
  <c r="BO37"/>
  <c r="BU37"/>
  <c r="BL18"/>
  <c r="BP19"/>
  <c r="BP32"/>
  <c r="BP22" s="1"/>
  <c r="BN6"/>
  <c r="BN37"/>
  <c r="BI59"/>
  <c r="BH59"/>
  <c r="BG59"/>
  <c r="BF59"/>
  <c r="BE59"/>
  <c r="BD59"/>
  <c r="BC59"/>
  <c r="BB59"/>
  <c r="BF49"/>
  <c r="BE49"/>
  <c r="BD49"/>
  <c r="BI48"/>
  <c r="BI49" s="1"/>
  <c r="BH48"/>
  <c r="BH49" s="1"/>
  <c r="BG48"/>
  <c r="BG49" s="1"/>
  <c r="BF48"/>
  <c r="BE48"/>
  <c r="BD48"/>
  <c r="BC48"/>
  <c r="BC49" s="1"/>
  <c r="BI46"/>
  <c r="K10" i="23" s="1"/>
  <c r="BH46" i="11"/>
  <c r="K14" i="23" s="1"/>
  <c r="BG46" i="11"/>
  <c r="K27" i="23" s="1"/>
  <c r="BF46" i="11"/>
  <c r="K41" i="23" s="1"/>
  <c r="BE46" i="11"/>
  <c r="K48" i="23" s="1"/>
  <c r="BD46" i="11"/>
  <c r="K66" i="23" s="1"/>
  <c r="BC46" i="11"/>
  <c r="K73" i="23" s="1"/>
  <c r="BI44" i="11"/>
  <c r="BH44"/>
  <c r="BG44"/>
  <c r="BF44"/>
  <c r="BE44"/>
  <c r="BD44"/>
  <c r="BC44"/>
  <c r="BI43"/>
  <c r="BH43"/>
  <c r="BG43"/>
  <c r="BF43"/>
  <c r="BE43"/>
  <c r="BD43"/>
  <c r="BC43"/>
  <c r="BB48"/>
  <c r="BB49" s="1"/>
  <c r="AP42" i="23" l="1"/>
  <c r="AT42"/>
  <c r="DG37" i="11" s="1"/>
  <c r="AQ42" i="23"/>
  <c r="AH42" i="2"/>
  <c r="AP42"/>
  <c r="AT42"/>
  <c r="CF37" i="11" s="1"/>
  <c r="AQ42" i="2"/>
  <c r="I66"/>
  <c r="I66" i="23"/>
  <c r="I48" i="2"/>
  <c r="I48" i="23"/>
  <c r="I10" i="2"/>
  <c r="I10" i="23"/>
  <c r="I41" i="2"/>
  <c r="I41" i="23"/>
  <c r="F42" i="2"/>
  <c r="AJ42" s="1"/>
  <c r="F42" i="23"/>
  <c r="AJ42" s="1"/>
  <c r="AU11"/>
  <c r="AN11"/>
  <c r="AH11"/>
  <c r="AL11"/>
  <c r="AT11"/>
  <c r="DG6" i="11" s="1"/>
  <c r="AO11" i="23"/>
  <c r="AM11"/>
  <c r="AP11"/>
  <c r="AR11"/>
  <c r="AV11"/>
  <c r="AQ11"/>
  <c r="I73" i="2"/>
  <c r="I73" i="23"/>
  <c r="E42" i="2"/>
  <c r="Z42" s="1"/>
  <c r="E42" i="23"/>
  <c r="C23" i="2"/>
  <c r="AG23" s="1"/>
  <c r="AK23" s="1"/>
  <c r="C23" i="23"/>
  <c r="AG23" s="1"/>
  <c r="AK23" s="1"/>
  <c r="CW6" i="11"/>
  <c r="E11" i="23"/>
  <c r="CX6" i="11"/>
  <c r="F11" i="23"/>
  <c r="AJ11" s="1"/>
  <c r="AU42"/>
  <c r="AM42"/>
  <c r="AO42"/>
  <c r="AH42"/>
  <c r="AN42"/>
  <c r="AV42"/>
  <c r="AR42"/>
  <c r="AL42"/>
  <c r="I27" i="2"/>
  <c r="I27" i="23"/>
  <c r="I14" i="2"/>
  <c r="I14" i="23"/>
  <c r="AO42" i="2"/>
  <c r="AR42"/>
  <c r="AL42"/>
  <c r="AV42"/>
  <c r="CG37" i="11" s="1"/>
  <c r="AM42" i="2"/>
  <c r="AN42"/>
  <c r="AU42"/>
  <c r="T42"/>
  <c r="Q42"/>
  <c r="R42"/>
  <c r="CW37" i="11"/>
  <c r="CX37"/>
  <c r="CU18"/>
  <c r="BT18"/>
  <c r="BW6"/>
  <c r="BW37"/>
  <c r="AV11" i="2"/>
  <c r="CG6" i="11" s="1"/>
  <c r="E11" i="2"/>
  <c r="BV6" i="11"/>
  <c r="BL17"/>
  <c r="BP18"/>
  <c r="BC63"/>
  <c r="BC60"/>
  <c r="BG63"/>
  <c r="BG60"/>
  <c r="BE51"/>
  <c r="K48" i="2"/>
  <c r="BI62" i="11"/>
  <c r="K10" i="2"/>
  <c r="F11"/>
  <c r="AJ11" s="1"/>
  <c r="BD45" i="11"/>
  <c r="BD60"/>
  <c r="BH45"/>
  <c r="BH60"/>
  <c r="BF51"/>
  <c r="K41" i="2"/>
  <c r="BE45" i="11"/>
  <c r="BE60"/>
  <c r="BI45"/>
  <c r="BI60"/>
  <c r="BC51"/>
  <c r="K73" i="2"/>
  <c r="BG51" i="11"/>
  <c r="K27" i="2"/>
  <c r="BF61" i="11"/>
  <c r="BF60"/>
  <c r="BD51"/>
  <c r="K66" i="2"/>
  <c r="BH51" i="11"/>
  <c r="K14" i="2"/>
  <c r="BF50" i="11"/>
  <c r="BV37"/>
  <c r="BP56"/>
  <c r="AH11" i="2"/>
  <c r="AT11"/>
  <c r="AP11"/>
  <c r="AU11"/>
  <c r="AO11"/>
  <c r="AN11"/>
  <c r="AR11"/>
  <c r="AM11"/>
  <c r="AL11"/>
  <c r="BC45" i="11"/>
  <c r="BE50"/>
  <c r="U48" i="23" s="1"/>
  <c r="BI50" i="11"/>
  <c r="BD50"/>
  <c r="BF45"/>
  <c r="BG45"/>
  <c r="BI47"/>
  <c r="O10" i="23" s="1"/>
  <c r="BC50" i="11"/>
  <c r="BG50"/>
  <c r="U27" i="23" s="1"/>
  <c r="BI51" i="11"/>
  <c r="BC61"/>
  <c r="BG61"/>
  <c r="BD62"/>
  <c r="BH62"/>
  <c r="BE63"/>
  <c r="BI63"/>
  <c r="BF64"/>
  <c r="BH50"/>
  <c r="U14" i="23" s="1"/>
  <c r="BD61" i="11"/>
  <c r="BH61"/>
  <c r="BE62"/>
  <c r="BF63"/>
  <c r="BC64"/>
  <c r="BG64"/>
  <c r="BE61"/>
  <c r="BI61"/>
  <c r="BF62"/>
  <c r="BD64"/>
  <c r="BH64"/>
  <c r="BB50"/>
  <c r="BE47"/>
  <c r="O48" i="23" s="1"/>
  <c r="BC62" i="11"/>
  <c r="BG62"/>
  <c r="BD63"/>
  <c r="BH63"/>
  <c r="BE64"/>
  <c r="BI64"/>
  <c r="BD47"/>
  <c r="O66" i="23" s="1"/>
  <c r="BH47" i="11"/>
  <c r="O14" i="23" s="1"/>
  <c r="BF47" i="11"/>
  <c r="O41" i="23" s="1"/>
  <c r="BC47" i="11"/>
  <c r="O73" i="23" s="1"/>
  <c r="BG47" i="11"/>
  <c r="O27" i="23" s="1"/>
  <c r="G42" i="2" l="1"/>
  <c r="K42"/>
  <c r="U42"/>
  <c r="M42"/>
  <c r="CB37" i="11" s="1"/>
  <c r="N42" i="2"/>
  <c r="P42"/>
  <c r="L42"/>
  <c r="S42"/>
  <c r="CC37" i="11" s="1"/>
  <c r="I42" i="2"/>
  <c r="AA42"/>
  <c r="O42"/>
  <c r="AC42"/>
  <c r="X42"/>
  <c r="AB42"/>
  <c r="W42"/>
  <c r="J42"/>
  <c r="Y42"/>
  <c r="H42"/>
  <c r="BY37" i="11" s="1"/>
  <c r="AI42" i="2"/>
  <c r="AS42"/>
  <c r="CE37" i="11" s="1"/>
  <c r="U77" i="2"/>
  <c r="U77" i="23"/>
  <c r="R41" i="2"/>
  <c r="R41" i="23"/>
  <c r="R73" i="2"/>
  <c r="R73" i="23"/>
  <c r="DH37" i="11"/>
  <c r="DH6"/>
  <c r="U73" i="2"/>
  <c r="U73" i="23"/>
  <c r="U66" i="2"/>
  <c r="U66" i="23"/>
  <c r="U41" i="2"/>
  <c r="U41" i="23"/>
  <c r="R10" i="2"/>
  <c r="R10" i="23"/>
  <c r="R66" i="2"/>
  <c r="R66" i="23"/>
  <c r="U10" i="2"/>
  <c r="U10" i="23"/>
  <c r="R27" i="2"/>
  <c r="R27" i="23"/>
  <c r="R48" i="2"/>
  <c r="R48" i="23"/>
  <c r="R14" i="2"/>
  <c r="R14" i="23"/>
  <c r="C22" i="2"/>
  <c r="AG22" s="1"/>
  <c r="AK22" s="1"/>
  <c r="C22" i="23"/>
  <c r="AG22" s="1"/>
  <c r="AK22" s="1"/>
  <c r="AS42"/>
  <c r="DF37" i="11" s="1"/>
  <c r="I11" i="23"/>
  <c r="N11"/>
  <c r="Z11"/>
  <c r="Y11"/>
  <c r="H11"/>
  <c r="CZ6" i="11" s="1"/>
  <c r="AA11" i="23"/>
  <c r="W11"/>
  <c r="X11"/>
  <c r="Q11"/>
  <c r="S11"/>
  <c r="DD6" i="11" s="1"/>
  <c r="T11" i="23"/>
  <c r="J11"/>
  <c r="AB11"/>
  <c r="G11"/>
  <c r="AI11"/>
  <c r="P11"/>
  <c r="O11"/>
  <c r="M11"/>
  <c r="DC6" i="11" s="1"/>
  <c r="AC11" i="23"/>
  <c r="L11"/>
  <c r="DB6" i="11" s="1"/>
  <c r="U11" i="23"/>
  <c r="K11"/>
  <c r="DA6" i="11" s="1"/>
  <c r="R11" i="23"/>
  <c r="DE6" i="11" s="1"/>
  <c r="AC42" i="23"/>
  <c r="H42"/>
  <c r="CZ37" i="11" s="1"/>
  <c r="G42" i="23"/>
  <c r="W42"/>
  <c r="R42"/>
  <c r="DE37" i="11" s="1"/>
  <c r="AA42" i="23"/>
  <c r="O42"/>
  <c r="N42"/>
  <c r="P42"/>
  <c r="Y42"/>
  <c r="X42"/>
  <c r="AI42"/>
  <c r="T42"/>
  <c r="Z42"/>
  <c r="K42"/>
  <c r="DA37" i="11" s="1"/>
  <c r="L42" i="23"/>
  <c r="DB37" i="11" s="1"/>
  <c r="AB42" i="23"/>
  <c r="J42"/>
  <c r="S42"/>
  <c r="DD37" i="11" s="1"/>
  <c r="Q42" i="23"/>
  <c r="M42"/>
  <c r="DC37" i="11" s="1"/>
  <c r="U42" i="23"/>
  <c r="I42"/>
  <c r="AS11"/>
  <c r="DF6" i="11" s="1"/>
  <c r="CF6"/>
  <c r="CU17"/>
  <c r="BT17"/>
  <c r="BI52"/>
  <c r="BI54" s="1"/>
  <c r="BC65"/>
  <c r="BI65"/>
  <c r="O27" i="2"/>
  <c r="O14"/>
  <c r="O73"/>
  <c r="O66"/>
  <c r="O48"/>
  <c r="O41"/>
  <c r="BC52" i="11"/>
  <c r="BC54" s="1"/>
  <c r="O10" i="2"/>
  <c r="BF56" i="11"/>
  <c r="CA37"/>
  <c r="BZ37"/>
  <c r="CD37"/>
  <c r="BP55"/>
  <c r="BD52"/>
  <c r="BD54" s="1"/>
  <c r="BE56"/>
  <c r="BI56"/>
  <c r="AS11" i="2"/>
  <c r="BG56" i="11"/>
  <c r="BH56"/>
  <c r="BF52"/>
  <c r="BF54" s="1"/>
  <c r="BH52"/>
  <c r="BH54" s="1"/>
  <c r="U14" i="2"/>
  <c r="BE52" i="11"/>
  <c r="BE54" s="1"/>
  <c r="U48" i="2"/>
  <c r="BC56" i="11"/>
  <c r="BD56"/>
  <c r="BG52"/>
  <c r="BG53" s="1"/>
  <c r="U27" i="2"/>
  <c r="BP17" i="11"/>
  <c r="BL16"/>
  <c r="AI11" i="2"/>
  <c r="AB11"/>
  <c r="J11"/>
  <c r="AC11"/>
  <c r="O11"/>
  <c r="W11"/>
  <c r="X11"/>
  <c r="L11"/>
  <c r="CA6" i="11" s="1"/>
  <c r="N11" i="2"/>
  <c r="S11"/>
  <c r="CC6" i="11" s="1"/>
  <c r="H11" i="2"/>
  <c r="BY6" i="11" s="1"/>
  <c r="AA11" i="2"/>
  <c r="I11"/>
  <c r="P11"/>
  <c r="Q11"/>
  <c r="M11"/>
  <c r="CB6" i="11" s="1"/>
  <c r="R11" i="2"/>
  <c r="CD6" i="11" s="1"/>
  <c r="G11" i="2"/>
  <c r="Z11"/>
  <c r="Y11"/>
  <c r="K11"/>
  <c r="BZ6" i="11" s="1"/>
  <c r="T11" i="2"/>
  <c r="U11"/>
  <c r="BG54" i="11"/>
  <c r="BF65"/>
  <c r="BH65"/>
  <c r="BG65"/>
  <c r="BE65"/>
  <c r="BD65"/>
  <c r="BI53" l="1"/>
  <c r="BI55" s="1"/>
  <c r="AN10" i="23" s="1"/>
  <c r="BG55" i="11"/>
  <c r="AN27" i="2" s="1"/>
  <c r="BD53" i="11"/>
  <c r="BD55" s="1"/>
  <c r="AN66" i="23" s="1"/>
  <c r="BC53" i="11"/>
  <c r="BC55" s="1"/>
  <c r="AN73" i="23" s="1"/>
  <c r="C21" i="2"/>
  <c r="AG21" s="1"/>
  <c r="AK21" s="1"/>
  <c r="C21" i="23"/>
  <c r="AG21" s="1"/>
  <c r="AK21" s="1"/>
  <c r="CE6" i="11"/>
  <c r="CU16"/>
  <c r="BT16"/>
  <c r="BF53"/>
  <c r="BF55" s="1"/>
  <c r="AN41" i="2" s="1"/>
  <c r="BH53" i="11"/>
  <c r="BH55" s="1"/>
  <c r="AN14" i="23" s="1"/>
  <c r="BE53" i="11"/>
  <c r="BE55" s="1"/>
  <c r="AN48" i="23" s="1"/>
  <c r="BP16" i="11"/>
  <c r="BL15"/>
  <c r="BP54"/>
  <c r="BB46"/>
  <c r="K77" i="23" s="1"/>
  <c r="BB43" i="11"/>
  <c r="AA34"/>
  <c r="AA35" s="1"/>
  <c r="AA36" s="1"/>
  <c r="AA37" s="1"/>
  <c r="AA38" s="1"/>
  <c r="AA39" s="1"/>
  <c r="AA40" s="1"/>
  <c r="AA41" s="1"/>
  <c r="AA42" s="1"/>
  <c r="AA43" s="1"/>
  <c r="AA44" s="1"/>
  <c r="AA45" s="1"/>
  <c r="AD33"/>
  <c r="AN10" i="2" l="1"/>
  <c r="AN27" i="23"/>
  <c r="AN14" i="2"/>
  <c r="AN73"/>
  <c r="AN41" i="23"/>
  <c r="AN66" i="2"/>
  <c r="AN48"/>
  <c r="C20"/>
  <c r="AG20" s="1"/>
  <c r="AK20" s="1"/>
  <c r="C20" i="23"/>
  <c r="AG20" s="1"/>
  <c r="AK20" s="1"/>
  <c r="CU15" i="11"/>
  <c r="BT15"/>
  <c r="BB60"/>
  <c r="BB64"/>
  <c r="BB63"/>
  <c r="K77" i="2"/>
  <c r="BB62" i="11"/>
  <c r="BP15"/>
  <c r="BL14"/>
  <c r="BP53"/>
  <c r="BB61"/>
  <c r="BB51"/>
  <c r="AA46"/>
  <c r="AA47" s="1"/>
  <c r="AA48" s="1"/>
  <c r="AA49" s="1"/>
  <c r="AA50" s="1"/>
  <c r="AA51" s="1"/>
  <c r="AD45"/>
  <c r="AD38"/>
  <c r="AD42"/>
  <c r="AD35"/>
  <c r="AD43"/>
  <c r="AD40"/>
  <c r="AD44"/>
  <c r="AD39"/>
  <c r="AD36"/>
  <c r="AD34"/>
  <c r="AD37"/>
  <c r="AD41"/>
  <c r="C19" i="2" l="1"/>
  <c r="AG19" s="1"/>
  <c r="AK19" s="1"/>
  <c r="C19" i="23"/>
  <c r="AG19" s="1"/>
  <c r="AK19" s="1"/>
  <c r="AK14" s="1"/>
  <c r="CU14" i="11"/>
  <c r="BT14"/>
  <c r="BP14"/>
  <c r="BP9" s="1"/>
  <c r="BP52"/>
  <c r="AA52"/>
  <c r="AD51"/>
  <c r="BB52"/>
  <c r="BB54" s="1"/>
  <c r="BB65"/>
  <c r="AD46"/>
  <c r="AD52" l="1"/>
  <c r="AA53"/>
  <c r="BP51"/>
  <c r="BP43" s="1"/>
  <c r="BM10"/>
  <c r="BB53"/>
  <c r="AD47"/>
  <c r="DJ70" l="1"/>
  <c r="DR70"/>
  <c r="CQ70"/>
  <c r="D15" i="23"/>
  <c r="D15" i="2"/>
  <c r="CI70" i="11"/>
  <c r="CV10"/>
  <c r="BU10"/>
  <c r="BW10" s="1"/>
  <c r="BN10"/>
  <c r="AD53"/>
  <c r="AA54"/>
  <c r="AD48"/>
  <c r="AU15" i="2" l="1"/>
  <c r="AP15"/>
  <c r="AT15"/>
  <c r="AQ15"/>
  <c r="AP15" i="23"/>
  <c r="AQ15"/>
  <c r="AT15"/>
  <c r="DG10" i="11" s="1"/>
  <c r="E15" i="2"/>
  <c r="Z15" s="1"/>
  <c r="E15" i="23"/>
  <c r="AL15"/>
  <c r="AO15"/>
  <c r="AH15"/>
  <c r="AV15"/>
  <c r="AM15"/>
  <c r="AR15"/>
  <c r="AU15"/>
  <c r="AN15"/>
  <c r="AM15" i="2"/>
  <c r="AO15"/>
  <c r="AR15"/>
  <c r="AN15"/>
  <c r="AV15"/>
  <c r="CG10" i="11" s="1"/>
  <c r="AH15" i="2"/>
  <c r="AL15"/>
  <c r="K15"/>
  <c r="BZ10" i="11" s="1"/>
  <c r="N15" i="2"/>
  <c r="U15"/>
  <c r="I15"/>
  <c r="M15"/>
  <c r="CB10" i="11" s="1"/>
  <c r="J15" i="2"/>
  <c r="Q15"/>
  <c r="CW10" i="11"/>
  <c r="BV10"/>
  <c r="AA55"/>
  <c r="AD54"/>
  <c r="BO10"/>
  <c r="AD49"/>
  <c r="AD50"/>
  <c r="AA15" i="2" l="1"/>
  <c r="AI15"/>
  <c r="S15"/>
  <c r="CC10" i="11" s="1"/>
  <c r="AS15" i="2"/>
  <c r="Y15"/>
  <c r="W15"/>
  <c r="AC15"/>
  <c r="G15"/>
  <c r="H15"/>
  <c r="BY10" i="11" s="1"/>
  <c r="T15" i="2"/>
  <c r="R15"/>
  <c r="CD10" i="11" s="1"/>
  <c r="O15" i="2"/>
  <c r="X15"/>
  <c r="P15"/>
  <c r="L15"/>
  <c r="CA10" i="11" s="1"/>
  <c r="AB15" i="2"/>
  <c r="AS15" i="23"/>
  <c r="DF10" i="11" s="1"/>
  <c r="F15" i="2"/>
  <c r="AJ15" s="1"/>
  <c r="F15" i="23"/>
  <c r="AJ15" s="1"/>
  <c r="DH10" i="11"/>
  <c r="U15" i="23"/>
  <c r="O15"/>
  <c r="H15"/>
  <c r="CZ10" i="11" s="1"/>
  <c r="AC15" i="23"/>
  <c r="G15"/>
  <c r="I15"/>
  <c r="J15"/>
  <c r="AA15"/>
  <c r="P15"/>
  <c r="K15"/>
  <c r="DA10" i="11" s="1"/>
  <c r="X15" i="23"/>
  <c r="M15"/>
  <c r="DC10" i="11" s="1"/>
  <c r="N15" i="23"/>
  <c r="Y15"/>
  <c r="S15"/>
  <c r="DD10" i="11" s="1"/>
  <c r="L15" i="23"/>
  <c r="DB10" i="11" s="1"/>
  <c r="Q15" i="23"/>
  <c r="R15"/>
  <c r="DE10" i="11" s="1"/>
  <c r="AI15" i="23"/>
  <c r="AB15"/>
  <c r="T15"/>
  <c r="Z15"/>
  <c r="W15"/>
  <c r="CE10" i="11"/>
  <c r="CF10"/>
  <c r="CX10"/>
  <c r="AA56"/>
  <c r="AD55"/>
  <c r="DG36" i="18"/>
  <c r="DG35"/>
  <c r="DG34"/>
  <c r="DG33"/>
  <c r="CS33"/>
  <c r="CK33"/>
  <c r="CC33"/>
  <c r="BU33"/>
  <c r="DG32"/>
  <c r="DG31"/>
  <c r="CS31"/>
  <c r="CK31"/>
  <c r="CC31"/>
  <c r="BU31"/>
  <c r="DG30"/>
  <c r="AU30"/>
  <c r="DG29"/>
  <c r="CS29"/>
  <c r="CK29"/>
  <c r="CC29"/>
  <c r="BU29"/>
  <c r="DG28"/>
  <c r="DG27"/>
  <c r="CS27"/>
  <c r="CK27"/>
  <c r="CC27"/>
  <c r="BU27"/>
  <c r="DG26"/>
  <c r="DG25"/>
  <c r="DG24"/>
  <c r="DG23"/>
  <c r="AD23"/>
  <c r="AH34" s="1"/>
  <c r="BL31" s="1"/>
  <c r="X23"/>
  <c r="AB34" s="1"/>
  <c r="AT31" s="1"/>
  <c r="DG22"/>
  <c r="X22"/>
  <c r="AB33" s="1"/>
  <c r="AT28" s="1"/>
  <c r="DG21"/>
  <c r="DG20"/>
  <c r="DG19"/>
  <c r="AD19"/>
  <c r="AD20" s="1"/>
  <c r="DG18"/>
  <c r="AD18"/>
  <c r="AB18"/>
  <c r="AB19" s="1"/>
  <c r="AB20" s="1"/>
  <c r="Z18"/>
  <c r="Z19" s="1"/>
  <c r="X18"/>
  <c r="DG17"/>
  <c r="AD17"/>
  <c r="BM30" s="1"/>
  <c r="AB17"/>
  <c r="BG30" s="1"/>
  <c r="Z17"/>
  <c r="Z23" s="1"/>
  <c r="AD34" s="1"/>
  <c r="AZ31" s="1"/>
  <c r="X17"/>
  <c r="DG16"/>
  <c r="AD16"/>
  <c r="AD22" s="1"/>
  <c r="AH33" s="1"/>
  <c r="BL28" s="1"/>
  <c r="BL34" s="1"/>
  <c r="AB16"/>
  <c r="AB22" s="1"/>
  <c r="AF33" s="1"/>
  <c r="BF28" s="1"/>
  <c r="Z16"/>
  <c r="BA27" s="1"/>
  <c r="X16"/>
  <c r="AU27" s="1"/>
  <c r="DG15"/>
  <c r="DG14"/>
  <c r="DG13"/>
  <c r="CT5"/>
  <c r="CL5"/>
  <c r="CD5"/>
  <c r="BV5"/>
  <c r="BM5"/>
  <c r="BG5"/>
  <c r="BA5"/>
  <c r="AU5"/>
  <c r="AA57" i="11" l="1"/>
  <c r="AD56"/>
  <c r="AT34" i="18"/>
  <c r="Z22"/>
  <c r="AD33" s="1"/>
  <c r="AZ28" s="1"/>
  <c r="AZ34" s="1"/>
  <c r="AF31"/>
  <c r="AB21"/>
  <c r="AD21"/>
  <c r="AH31"/>
  <c r="X19"/>
  <c r="X20" s="1"/>
  <c r="BA30"/>
  <c r="BM27"/>
  <c r="Z20"/>
  <c r="AB23"/>
  <c r="AF34" s="1"/>
  <c r="BF31" s="1"/>
  <c r="BF34" s="1"/>
  <c r="BG27"/>
  <c r="AA58" i="11" l="1"/>
  <c r="AD57"/>
  <c r="BB36" i="18"/>
  <c r="X21"/>
  <c r="AB31"/>
  <c r="AH32"/>
  <c r="AD24"/>
  <c r="AF32"/>
  <c r="AB24"/>
  <c r="AD31"/>
  <c r="Z21"/>
  <c r="AA59" i="11" l="1"/>
  <c r="AD58"/>
  <c r="AD25" i="18"/>
  <c r="AH35"/>
  <c r="AD32"/>
  <c r="Z24"/>
  <c r="AB32"/>
  <c r="X24"/>
  <c r="AF35"/>
  <c r="AB25"/>
  <c r="AA60" i="11" l="1"/>
  <c r="AD59"/>
  <c r="AH36" i="18"/>
  <c r="AD26"/>
  <c r="X25"/>
  <c r="AB35"/>
  <c r="AB26"/>
  <c r="AF36"/>
  <c r="AD35"/>
  <c r="Z25"/>
  <c r="AA61" i="11" l="1"/>
  <c r="AD60"/>
  <c r="BL33" i="18"/>
  <c r="CR35"/>
  <c r="AB36"/>
  <c r="X26"/>
  <c r="CJ35"/>
  <c r="BF33"/>
  <c r="AD36"/>
  <c r="Z26"/>
  <c r="AA62" i="11" l="1"/>
  <c r="AD61"/>
  <c r="CB35" i="18"/>
  <c r="AZ33"/>
  <c r="BT35"/>
  <c r="AT33"/>
  <c r="F17" i="17"/>
  <c r="F19" s="1"/>
  <c r="J14"/>
  <c r="F14"/>
  <c r="F15" s="1"/>
  <c r="O13"/>
  <c r="O16" s="1"/>
  <c r="J13"/>
  <c r="J12"/>
  <c r="J11"/>
  <c r="F11"/>
  <c r="O10"/>
  <c r="J10"/>
  <c r="O9"/>
  <c r="J9"/>
  <c r="J8"/>
  <c r="F8"/>
  <c r="J7"/>
  <c r="J6"/>
  <c r="O5"/>
  <c r="O7" s="1"/>
  <c r="J5"/>
  <c r="J4"/>
  <c r="J3"/>
  <c r="J2"/>
  <c r="AA63" i="11" l="1"/>
  <c r="AD62"/>
  <c r="F16" i="17"/>
  <c r="F18" s="1"/>
  <c r="F13" s="1"/>
  <c r="F23" s="1"/>
  <c r="F25" s="1"/>
  <c r="BB35" i="18"/>
  <c r="BM36" s="1"/>
  <c r="O12" i="17"/>
  <c r="O14" s="1"/>
  <c r="F12"/>
  <c r="F20"/>
  <c r="F28"/>
  <c r="F21"/>
  <c r="F22" s="1"/>
  <c r="F24" s="1"/>
  <c r="F26"/>
  <c r="F27" s="1"/>
  <c r="O6"/>
  <c r="O18"/>
  <c r="AD63" i="11" l="1"/>
  <c r="AA64"/>
  <c r="F29" i="17"/>
  <c r="O25"/>
  <c r="O28"/>
  <c r="O19"/>
  <c r="O20" s="1"/>
  <c r="O22" s="1"/>
  <c r="O8"/>
  <c r="O21" s="1"/>
  <c r="O23" s="1"/>
  <c r="AD64" i="11" l="1"/>
  <c r="AA65"/>
  <c r="O27" i="17"/>
  <c r="O29"/>
  <c r="AA66" i="11" l="1"/>
  <c r="AD65"/>
  <c r="X41" i="16"/>
  <c r="AA31"/>
  <c r="T23"/>
  <c r="Y14"/>
  <c r="AA67" i="11" l="1"/>
  <c r="AD67" s="1"/>
  <c r="AD66"/>
  <c r="M79" i="2" l="1"/>
  <c r="CB74" i="11" s="1"/>
  <c r="C79" i="2"/>
  <c r="AG79" s="1"/>
  <c r="AK79" s="1"/>
  <c r="B79"/>
  <c r="AF79" s="1"/>
  <c r="C78"/>
  <c r="AG78" s="1"/>
  <c r="AK78" s="1"/>
  <c r="C76"/>
  <c r="AG76" s="1"/>
  <c r="AK76" s="1"/>
  <c r="C75"/>
  <c r="AG75" s="1"/>
  <c r="AK75" s="1"/>
  <c r="C74"/>
  <c r="AG74" s="1"/>
  <c r="AK74" s="1"/>
  <c r="C13"/>
  <c r="AG13" s="1"/>
  <c r="AK13" s="1"/>
  <c r="C12"/>
  <c r="AG12" s="1"/>
  <c r="AK12" s="1"/>
  <c r="M6"/>
  <c r="L6"/>
  <c r="M5"/>
  <c r="L5"/>
  <c r="K5"/>
  <c r="AV5"/>
  <c r="U2"/>
  <c r="D2"/>
  <c r="BN74" i="11"/>
  <c r="E79" i="23" s="1"/>
  <c r="K79" s="1"/>
  <c r="BM74" i="11"/>
  <c r="BM73"/>
  <c r="BK73"/>
  <c r="B78" i="23" s="1"/>
  <c r="AF78" s="1"/>
  <c r="BM72" i="11"/>
  <c r="BB44"/>
  <c r="I77" i="23" s="1"/>
  <c r="BM68" i="11"/>
  <c r="BB47"/>
  <c r="O77" i="23" s="1"/>
  <c r="BB45" i="11"/>
  <c r="R77" i="23" s="1"/>
  <c r="BI42" i="11"/>
  <c r="BH42"/>
  <c r="BG42"/>
  <c r="BF42"/>
  <c r="BE42"/>
  <c r="BE57" s="1"/>
  <c r="BD42"/>
  <c r="BD57" s="1"/>
  <c r="BC42"/>
  <c r="BB42"/>
  <c r="BI41"/>
  <c r="BH41"/>
  <c r="BG41"/>
  <c r="BF41"/>
  <c r="BE41"/>
  <c r="BD41"/>
  <c r="BC41"/>
  <c r="BB41"/>
  <c r="BM61"/>
  <c r="BM43"/>
  <c r="BM36"/>
  <c r="BM9"/>
  <c r="BM5"/>
  <c r="D10" i="23" s="1"/>
  <c r="AH10" s="1"/>
  <c r="DR19" i="11" l="1"/>
  <c r="CQ19"/>
  <c r="DJ19"/>
  <c r="DJ37"/>
  <c r="DR37"/>
  <c r="CQ37"/>
  <c r="DR44"/>
  <c r="CQ44"/>
  <c r="DJ44"/>
  <c r="DR7"/>
  <c r="CQ7"/>
  <c r="DJ7"/>
  <c r="DJ71"/>
  <c r="DR71"/>
  <c r="CQ71"/>
  <c r="DJ5"/>
  <c r="DR5"/>
  <c r="CQ5"/>
  <c r="DR11"/>
  <c r="CQ11"/>
  <c r="DJ11"/>
  <c r="DJ6"/>
  <c r="DR6"/>
  <c r="CQ6"/>
  <c r="D41" i="23"/>
  <c r="AH41" s="1"/>
  <c r="D66"/>
  <c r="AH66" s="1"/>
  <c r="D14"/>
  <c r="AH14" s="1"/>
  <c r="D73"/>
  <c r="AH73" s="1"/>
  <c r="D78"/>
  <c r="D79"/>
  <c r="D48"/>
  <c r="AH48" s="1"/>
  <c r="D77"/>
  <c r="AH77" s="1"/>
  <c r="E6"/>
  <c r="AI79"/>
  <c r="CI37" i="11"/>
  <c r="CI19"/>
  <c r="CI71"/>
  <c r="BM45"/>
  <c r="BM63"/>
  <c r="BM46"/>
  <c r="BM50"/>
  <c r="BM11"/>
  <c r="BM47"/>
  <c r="BM59"/>
  <c r="BM65"/>
  <c r="BM24"/>
  <c r="BM48"/>
  <c r="BM56"/>
  <c r="BM60"/>
  <c r="BM64"/>
  <c r="BM49"/>
  <c r="BM57"/>
  <c r="BM20"/>
  <c r="BM58"/>
  <c r="BM62"/>
  <c r="BM55"/>
  <c r="BM54"/>
  <c r="BM53"/>
  <c r="BM52"/>
  <c r="BM51"/>
  <c r="CI44"/>
  <c r="CI11"/>
  <c r="CI6"/>
  <c r="CI5"/>
  <c r="CI7"/>
  <c r="BK71"/>
  <c r="CT71" s="1"/>
  <c r="AY68"/>
  <c r="R77" i="2"/>
  <c r="BC68" i="11"/>
  <c r="I77" i="2"/>
  <c r="AZ68" i="11"/>
  <c r="BB57"/>
  <c r="O77" i="2"/>
  <c r="BB55" i="11"/>
  <c r="D73" i="2"/>
  <c r="AH73" s="1"/>
  <c r="BU68" i="11"/>
  <c r="CV68"/>
  <c r="BS73"/>
  <c r="CT73"/>
  <c r="BO9"/>
  <c r="F14" i="23" s="1"/>
  <c r="AJ14" s="1"/>
  <c r="BH57" i="11"/>
  <c r="BO68"/>
  <c r="F73" i="23" s="1"/>
  <c r="AJ73" s="1"/>
  <c r="BC57" i="11"/>
  <c r="D48" i="2"/>
  <c r="AH48" s="1"/>
  <c r="BU43" i="11"/>
  <c r="CV43"/>
  <c r="D78" i="2"/>
  <c r="BU73" i="11"/>
  <c r="CV73"/>
  <c r="D66" i="2"/>
  <c r="AH66" s="1"/>
  <c r="BU61" i="11"/>
  <c r="CV61"/>
  <c r="BO5"/>
  <c r="F10" i="23" s="1"/>
  <c r="AJ10" s="1"/>
  <c r="BI57" i="11"/>
  <c r="D79" i="2"/>
  <c r="BU74" i="11"/>
  <c r="CV74"/>
  <c r="D41" i="2"/>
  <c r="AH41" s="1"/>
  <c r="BU36" i="11"/>
  <c r="CV36"/>
  <c r="BO22"/>
  <c r="F27" i="23" s="1"/>
  <c r="AJ27" s="1"/>
  <c r="BG57" i="11"/>
  <c r="D14" i="2"/>
  <c r="AH14" s="1"/>
  <c r="BU9" i="11"/>
  <c r="CV9"/>
  <c r="D10" i="2"/>
  <c r="AH10" s="1"/>
  <c r="BU5" i="11"/>
  <c r="CV5"/>
  <c r="BO36"/>
  <c r="F41" i="23" s="1"/>
  <c r="AJ41" s="1"/>
  <c r="BF57" i="11"/>
  <c r="D77" i="2"/>
  <c r="AH77" s="1"/>
  <c r="BU72" i="11"/>
  <c r="CV72"/>
  <c r="BV74"/>
  <c r="CW74"/>
  <c r="AK10" i="2"/>
  <c r="AK27"/>
  <c r="AK41"/>
  <c r="AK66"/>
  <c r="AK77"/>
  <c r="AK14"/>
  <c r="AK48"/>
  <c r="AK73"/>
  <c r="BM18" i="11"/>
  <c r="BM23"/>
  <c r="BM17"/>
  <c r="BM25"/>
  <c r="BM16"/>
  <c r="BM15"/>
  <c r="BM14"/>
  <c r="BM13"/>
  <c r="BM12"/>
  <c r="BM31"/>
  <c r="BM39"/>
  <c r="BM29"/>
  <c r="BM27"/>
  <c r="BM32"/>
  <c r="BM30"/>
  <c r="BM26"/>
  <c r="BM28"/>
  <c r="BM38"/>
  <c r="BM44"/>
  <c r="BM69"/>
  <c r="BM71"/>
  <c r="BM21"/>
  <c r="BO61"/>
  <c r="F66" i="23" s="1"/>
  <c r="AJ66" s="1"/>
  <c r="BO74" i="11"/>
  <c r="F79" i="23" s="1"/>
  <c r="BO43" i="11"/>
  <c r="F48" i="23" s="1"/>
  <c r="AJ48" s="1"/>
  <c r="BM7" i="11"/>
  <c r="B78" i="2"/>
  <c r="AF78" s="1"/>
  <c r="BM19" i="11"/>
  <c r="B76" i="2"/>
  <c r="AF76" s="1"/>
  <c r="E79"/>
  <c r="BM35" i="11"/>
  <c r="BK70"/>
  <c r="B75" i="23" s="1"/>
  <c r="AF75" s="1"/>
  <c r="BM8" i="11"/>
  <c r="BM33"/>
  <c r="BM66"/>
  <c r="BM40"/>
  <c r="BB56"/>
  <c r="BE68" s="1"/>
  <c r="O2" i="23" s="1"/>
  <c r="BM34" i="11"/>
  <c r="BM41"/>
  <c r="BN73"/>
  <c r="E78" i="23" s="1"/>
  <c r="BM42" i="11"/>
  <c r="BM67"/>
  <c r="BO72"/>
  <c r="F77" i="23" s="1"/>
  <c r="AJ77" s="1"/>
  <c r="BM70" i="11"/>
  <c r="DJ61" l="1"/>
  <c r="DR61"/>
  <c r="CQ61"/>
  <c r="DR55"/>
  <c r="CQ55"/>
  <c r="DJ55"/>
  <c r="DJ29"/>
  <c r="DR29"/>
  <c r="CQ29"/>
  <c r="DJ25"/>
  <c r="DR25"/>
  <c r="CQ25"/>
  <c r="DR23"/>
  <c r="CQ23"/>
  <c r="DJ23"/>
  <c r="DR24"/>
  <c r="CQ24"/>
  <c r="DJ24"/>
  <c r="DJ21"/>
  <c r="DR21"/>
  <c r="CQ21"/>
  <c r="DJ34"/>
  <c r="DR34"/>
  <c r="CQ34"/>
  <c r="DJ45"/>
  <c r="DR45"/>
  <c r="CQ45"/>
  <c r="DJ10"/>
  <c r="DR10"/>
  <c r="CQ10"/>
  <c r="DJ38"/>
  <c r="DR38"/>
  <c r="CQ38"/>
  <c r="DR68"/>
  <c r="CQ68"/>
  <c r="DJ68"/>
  <c r="DJ26"/>
  <c r="DR26"/>
  <c r="CQ26"/>
  <c r="DR60"/>
  <c r="CQ60"/>
  <c r="DJ60"/>
  <c r="DR20"/>
  <c r="CQ20"/>
  <c r="DJ20"/>
  <c r="DJ30"/>
  <c r="DR30"/>
  <c r="CQ30"/>
  <c r="DR39"/>
  <c r="CQ39"/>
  <c r="DJ39"/>
  <c r="CQ9"/>
  <c r="DJ9"/>
  <c r="DR9"/>
  <c r="DR40"/>
  <c r="CQ40"/>
  <c r="DJ40"/>
  <c r="DJ54"/>
  <c r="DR54"/>
  <c r="CQ54"/>
  <c r="DR51"/>
  <c r="CQ51"/>
  <c r="DJ51"/>
  <c r="DR67"/>
  <c r="CQ67"/>
  <c r="DJ67"/>
  <c r="DR72"/>
  <c r="CQ72"/>
  <c r="DJ72"/>
  <c r="DR8"/>
  <c r="CQ8"/>
  <c r="DJ8"/>
  <c r="DR52"/>
  <c r="CQ52"/>
  <c r="DJ52"/>
  <c r="DJ53"/>
  <c r="DR53"/>
  <c r="CQ53"/>
  <c r="DR64"/>
  <c r="CQ64"/>
  <c r="DJ64"/>
  <c r="DJ62"/>
  <c r="DR62"/>
  <c r="CQ62"/>
  <c r="DJ46"/>
  <c r="DR46"/>
  <c r="CQ46"/>
  <c r="DR47"/>
  <c r="CQ47"/>
  <c r="DJ47"/>
  <c r="DR73"/>
  <c r="DJ73"/>
  <c r="CQ73"/>
  <c r="DR59"/>
  <c r="CQ59"/>
  <c r="DJ59"/>
  <c r="DJ42"/>
  <c r="DR42"/>
  <c r="CQ42"/>
  <c r="DR48"/>
  <c r="CQ48"/>
  <c r="DJ48"/>
  <c r="DR49"/>
  <c r="DJ49"/>
  <c r="CQ49"/>
  <c r="DJ65"/>
  <c r="DR65"/>
  <c r="CQ65"/>
  <c r="DR57"/>
  <c r="DJ57"/>
  <c r="CQ57"/>
  <c r="DR27"/>
  <c r="CQ27"/>
  <c r="DJ27"/>
  <c r="DJ22"/>
  <c r="DR22"/>
  <c r="CQ22"/>
  <c r="DR56"/>
  <c r="CQ56"/>
  <c r="DJ56"/>
  <c r="DJ69"/>
  <c r="DR69"/>
  <c r="CQ69"/>
  <c r="DR35"/>
  <c r="CQ35"/>
  <c r="DJ35"/>
  <c r="DR36"/>
  <c r="CQ36"/>
  <c r="DJ36"/>
  <c r="DJ50"/>
  <c r="DR50"/>
  <c r="CQ50"/>
  <c r="DJ41"/>
  <c r="DR41"/>
  <c r="CQ41"/>
  <c r="DJ66"/>
  <c r="DR66"/>
  <c r="CQ66"/>
  <c r="DR63"/>
  <c r="CQ63"/>
  <c r="DJ63"/>
  <c r="DR28"/>
  <c r="CQ28"/>
  <c r="DJ28"/>
  <c r="CQ18"/>
  <c r="DR31"/>
  <c r="CQ31"/>
  <c r="DJ31"/>
  <c r="DR32"/>
  <c r="CQ32"/>
  <c r="DJ32"/>
  <c r="DJ33"/>
  <c r="DR33"/>
  <c r="CQ33"/>
  <c r="D40" i="23"/>
  <c r="D43"/>
  <c r="AI78"/>
  <c r="L78"/>
  <c r="DB73" i="11" s="1"/>
  <c r="M78" i="23"/>
  <c r="DC73" i="11" s="1"/>
  <c r="D45" i="23"/>
  <c r="D76"/>
  <c r="D33"/>
  <c r="D32"/>
  <c r="D23"/>
  <c r="D46"/>
  <c r="D71"/>
  <c r="D31"/>
  <c r="D34"/>
  <c r="D18"/>
  <c r="D72"/>
  <c r="D39"/>
  <c r="D24"/>
  <c r="AJ79"/>
  <c r="F6"/>
  <c r="G6" s="1"/>
  <c r="H6" s="1"/>
  <c r="J6" s="1"/>
  <c r="I6" s="1"/>
  <c r="D49"/>
  <c r="D35"/>
  <c r="D44"/>
  <c r="D19"/>
  <c r="D22"/>
  <c r="D56"/>
  <c r="D60"/>
  <c r="D62"/>
  <c r="D61"/>
  <c r="D64"/>
  <c r="D51"/>
  <c r="DA74" i="11"/>
  <c r="K6" i="23"/>
  <c r="D26"/>
  <c r="D37"/>
  <c r="D36"/>
  <c r="D20"/>
  <c r="D28"/>
  <c r="BA68" i="11"/>
  <c r="H2" i="23" s="1"/>
  <c r="F2"/>
  <c r="K78" s="1"/>
  <c r="DA73" i="11" s="1"/>
  <c r="D57" i="23"/>
  <c r="D67"/>
  <c r="D54"/>
  <c r="D53"/>
  <c r="D52"/>
  <c r="D68"/>
  <c r="D47"/>
  <c r="D21"/>
  <c r="AN77" i="2"/>
  <c r="AN77" i="23"/>
  <c r="BS71" i="11"/>
  <c r="B76" i="23"/>
  <c r="AF76" s="1"/>
  <c r="D58"/>
  <c r="D63"/>
  <c r="D69"/>
  <c r="D29"/>
  <c r="D16"/>
  <c r="D50"/>
  <c r="Y6"/>
  <c r="W6"/>
  <c r="AH79"/>
  <c r="AL79"/>
  <c r="AL78"/>
  <c r="AH78"/>
  <c r="D75"/>
  <c r="D38"/>
  <c r="D12"/>
  <c r="D17"/>
  <c r="D13"/>
  <c r="D74"/>
  <c r="D30"/>
  <c r="K2"/>
  <c r="D59"/>
  <c r="D25"/>
  <c r="D65"/>
  <c r="D70"/>
  <c r="D55"/>
  <c r="G79"/>
  <c r="CI9" i="11"/>
  <c r="CI8"/>
  <c r="D33" i="2"/>
  <c r="CI52" i="11"/>
  <c r="D32" i="2"/>
  <c r="CI53" i="11"/>
  <c r="D23" i="2"/>
  <c r="CI62" i="11"/>
  <c r="D71" i="2"/>
  <c r="D31"/>
  <c r="CI54" i="11"/>
  <c r="D34" i="2"/>
  <c r="CI51" i="11"/>
  <c r="D30" i="2"/>
  <c r="CI55" i="11"/>
  <c r="D39" i="2"/>
  <c r="CI46" i="11"/>
  <c r="D24" i="2"/>
  <c r="CI61" i="11"/>
  <c r="D49" i="2"/>
  <c r="CI36" i="11"/>
  <c r="D35" i="2"/>
  <c r="CI50" i="11"/>
  <c r="D19" i="2"/>
  <c r="CI66" i="11"/>
  <c r="D22" i="2"/>
  <c r="CI63" i="11"/>
  <c r="D47" i="2"/>
  <c r="CI38" i="11"/>
  <c r="D40" i="2"/>
  <c r="CI45" i="11"/>
  <c r="D26" i="2"/>
  <c r="CI59" i="11"/>
  <c r="D43" i="2"/>
  <c r="CI42" i="11"/>
  <c r="D37" i="2"/>
  <c r="CI48" i="11"/>
  <c r="D36" i="2"/>
  <c r="CI49" i="11"/>
  <c r="D20" i="2"/>
  <c r="CI65" i="11"/>
  <c r="D28" i="2"/>
  <c r="CI57" i="11"/>
  <c r="D57" i="2"/>
  <c r="CI28" i="11"/>
  <c r="CV52"/>
  <c r="BU52"/>
  <c r="BN52"/>
  <c r="E57" i="23" s="1"/>
  <c r="BN62" i="11"/>
  <c r="E67" i="23" s="1"/>
  <c r="D67" i="2"/>
  <c r="CV62" i="11"/>
  <c r="BU62"/>
  <c r="CI31"/>
  <c r="D54" i="2"/>
  <c r="BN49" i="11"/>
  <c r="E54" i="23" s="1"/>
  <c r="BU49" i="11"/>
  <c r="CV49"/>
  <c r="D53" i="2"/>
  <c r="CI32" i="11"/>
  <c r="CV48"/>
  <c r="BU48"/>
  <c r="BN48"/>
  <c r="E53" i="23" s="1"/>
  <c r="D52" i="2"/>
  <c r="CI33" i="11"/>
  <c r="BU47"/>
  <c r="CV47"/>
  <c r="BN47"/>
  <c r="E52" i="23" s="1"/>
  <c r="D68" i="2"/>
  <c r="CV63" i="11"/>
  <c r="BU63"/>
  <c r="BN63"/>
  <c r="CI73"/>
  <c r="CV7"/>
  <c r="D21" i="2"/>
  <c r="CI64" i="11"/>
  <c r="D58" i="2"/>
  <c r="CI27" i="11"/>
  <c r="BU53"/>
  <c r="CV53"/>
  <c r="BN53"/>
  <c r="E58" i="23" s="1"/>
  <c r="D63" i="2"/>
  <c r="CI22" i="11"/>
  <c r="BN58"/>
  <c r="E63" i="23" s="1"/>
  <c r="CV58" i="11"/>
  <c r="BU58"/>
  <c r="BN64"/>
  <c r="E69" i="23" s="1"/>
  <c r="D69" i="2"/>
  <c r="CV64" i="11"/>
  <c r="BU64"/>
  <c r="CI56"/>
  <c r="CV24"/>
  <c r="D29" i="2"/>
  <c r="BU24" i="11"/>
  <c r="BN24"/>
  <c r="E29" i="23" s="1"/>
  <c r="CI69" i="11"/>
  <c r="BU11"/>
  <c r="CV11"/>
  <c r="D16" i="2"/>
  <c r="BN11" i="11"/>
  <c r="CI35"/>
  <c r="D50" i="2"/>
  <c r="BU45" i="11"/>
  <c r="BN45"/>
  <c r="E50" i="23" s="1"/>
  <c r="CV45" i="11"/>
  <c r="D38" i="2"/>
  <c r="CI47" i="11"/>
  <c r="CI72"/>
  <c r="CV8"/>
  <c r="D18" i="2"/>
  <c r="CI67" i="11"/>
  <c r="D59" i="2"/>
  <c r="CI26" i="11"/>
  <c r="BU54"/>
  <c r="CV54"/>
  <c r="BN54"/>
  <c r="E59" i="23" s="1"/>
  <c r="BU20" i="11"/>
  <c r="CI60"/>
  <c r="D25" i="2"/>
  <c r="CV20" i="11"/>
  <c r="BN20"/>
  <c r="D65" i="2"/>
  <c r="CI20" i="11"/>
  <c r="BU60"/>
  <c r="CV60"/>
  <c r="BN60"/>
  <c r="D70" i="2"/>
  <c r="CV65" i="11"/>
  <c r="BN65"/>
  <c r="E70" i="23" s="1"/>
  <c r="BU65" i="11"/>
  <c r="D55" i="2"/>
  <c r="CI30" i="11"/>
  <c r="BU50"/>
  <c r="CV50"/>
  <c r="BN50"/>
  <c r="E55" i="23" s="1"/>
  <c r="D45" i="2"/>
  <c r="CI40" i="11"/>
  <c r="D17" i="2"/>
  <c r="CI68" i="11"/>
  <c r="D46" i="2"/>
  <c r="CI39" i="11"/>
  <c r="CI10"/>
  <c r="D72" i="2"/>
  <c r="D44"/>
  <c r="CI41" i="11"/>
  <c r="D56" i="2"/>
  <c r="CI29" i="11"/>
  <c r="CV51"/>
  <c r="BU51"/>
  <c r="BN51"/>
  <c r="E56" i="23" s="1"/>
  <c r="D60" i="2"/>
  <c r="CI25" i="11"/>
  <c r="BU55"/>
  <c r="CV55"/>
  <c r="BN55"/>
  <c r="E60" i="23" s="1"/>
  <c r="CI23" i="11"/>
  <c r="BU57"/>
  <c r="D62" i="2"/>
  <c r="BN57" i="11"/>
  <c r="E62" i="23" s="1"/>
  <c r="CV57" i="11"/>
  <c r="D61" i="2"/>
  <c r="CI24" i="11"/>
  <c r="BU56"/>
  <c r="BN56"/>
  <c r="E61" i="23" s="1"/>
  <c r="CV56" i="11"/>
  <c r="D64" i="2"/>
  <c r="CI21" i="11"/>
  <c r="CV59"/>
  <c r="BN59"/>
  <c r="E64" i="23" s="1"/>
  <c r="BU59" i="11"/>
  <c r="D51" i="2"/>
  <c r="CI34" i="11"/>
  <c r="CV46"/>
  <c r="BN46"/>
  <c r="E51" i="23" s="1"/>
  <c r="BU46" i="11"/>
  <c r="AH49" i="2"/>
  <c r="CV40" i="11"/>
  <c r="BN71"/>
  <c r="E76" i="23" s="1"/>
  <c r="CV39" i="11"/>
  <c r="CV41"/>
  <c r="CV42"/>
  <c r="CV38"/>
  <c r="CV67"/>
  <c r="BU67"/>
  <c r="CV34"/>
  <c r="BN34"/>
  <c r="BU34"/>
  <c r="CV19"/>
  <c r="BU19"/>
  <c r="BN19"/>
  <c r="CV44"/>
  <c r="BN44"/>
  <c r="BU44"/>
  <c r="CV30"/>
  <c r="BU30"/>
  <c r="BN30"/>
  <c r="CV14"/>
  <c r="BU14"/>
  <c r="BN14"/>
  <c r="CV17"/>
  <c r="BU17"/>
  <c r="BN17"/>
  <c r="CV35"/>
  <c r="BU35"/>
  <c r="CV21"/>
  <c r="BU21"/>
  <c r="CV32"/>
  <c r="BU32"/>
  <c r="BN32"/>
  <c r="CV31"/>
  <c r="BU31"/>
  <c r="BN31"/>
  <c r="CV15"/>
  <c r="BU15"/>
  <c r="BN15"/>
  <c r="CV23"/>
  <c r="BU23"/>
  <c r="BN23"/>
  <c r="CV33"/>
  <c r="BN33"/>
  <c r="BU33"/>
  <c r="CV28"/>
  <c r="BU28"/>
  <c r="BN28"/>
  <c r="CV27"/>
  <c r="BU27"/>
  <c r="BN27"/>
  <c r="CV12"/>
  <c r="BU12"/>
  <c r="BN12"/>
  <c r="CV16"/>
  <c r="BU16"/>
  <c r="BN16"/>
  <c r="CV18"/>
  <c r="BU18"/>
  <c r="BN18"/>
  <c r="BN66"/>
  <c r="CV66"/>
  <c r="BU66"/>
  <c r="CV26"/>
  <c r="BU26"/>
  <c r="BN26"/>
  <c r="CV29"/>
  <c r="BU29"/>
  <c r="BN29"/>
  <c r="CV13"/>
  <c r="BU13"/>
  <c r="BN13"/>
  <c r="CV25"/>
  <c r="BN25"/>
  <c r="BU25"/>
  <c r="BG68"/>
  <c r="BN69"/>
  <c r="BN21"/>
  <c r="AH78" i="2"/>
  <c r="AH79"/>
  <c r="BS70" i="11"/>
  <c r="CT70"/>
  <c r="F41" i="2"/>
  <c r="AJ41" s="1"/>
  <c r="BW36" i="11"/>
  <c r="CX36"/>
  <c r="F14" i="2"/>
  <c r="AJ14" s="1"/>
  <c r="BW9" i="11"/>
  <c r="CX9"/>
  <c r="BU42"/>
  <c r="BO73"/>
  <c r="F78" i="23" s="1"/>
  <c r="AJ78" s="1"/>
  <c r="BV73" i="11"/>
  <c r="BW73" s="1"/>
  <c r="CW73"/>
  <c r="F77" i="2"/>
  <c r="AJ77" s="1"/>
  <c r="BW72" i="11"/>
  <c r="CX72"/>
  <c r="BU8"/>
  <c r="BU7"/>
  <c r="BU40"/>
  <c r="F48" i="2"/>
  <c r="AJ48" s="1"/>
  <c r="BW43" i="11"/>
  <c r="CX43"/>
  <c r="BN39"/>
  <c r="BU39"/>
  <c r="BU41"/>
  <c r="BN35"/>
  <c r="D76" i="2"/>
  <c r="BU71" i="11"/>
  <c r="CV71"/>
  <c r="BU38"/>
  <c r="F27" i="2"/>
  <c r="AJ27" s="1"/>
  <c r="BW22" i="11"/>
  <c r="CX22"/>
  <c r="F73" i="2"/>
  <c r="AJ73" s="1"/>
  <c r="BW68" i="11"/>
  <c r="CX68"/>
  <c r="BU70"/>
  <c r="CV70"/>
  <c r="BW74"/>
  <c r="CX74"/>
  <c r="F66" i="2"/>
  <c r="AJ66" s="1"/>
  <c r="BW61" i="11"/>
  <c r="CX61"/>
  <c r="D74" i="2"/>
  <c r="BU69" i="11"/>
  <c r="CV69"/>
  <c r="F10" i="2"/>
  <c r="AJ10" s="1"/>
  <c r="BW5" i="11"/>
  <c r="CX5"/>
  <c r="K79" i="2"/>
  <c r="AI79"/>
  <c r="BN38" i="11"/>
  <c r="BN7"/>
  <c r="H2" i="2"/>
  <c r="K2"/>
  <c r="F2"/>
  <c r="F79"/>
  <c r="AJ79" s="1"/>
  <c r="BN8" i="11"/>
  <c r="D75" i="2"/>
  <c r="E78"/>
  <c r="B75"/>
  <c r="AF75" s="1"/>
  <c r="BK69" i="11"/>
  <c r="B74" i="23" s="1"/>
  <c r="AF74" s="1"/>
  <c r="D12" i="2"/>
  <c r="D13"/>
  <c r="BN70" i="11"/>
  <c r="E75" i="23" s="1"/>
  <c r="BN42" i="11"/>
  <c r="BN41"/>
  <c r="BN40"/>
  <c r="BN67"/>
  <c r="AH46" i="2" l="1"/>
  <c r="AH45"/>
  <c r="AH44"/>
  <c r="AH18"/>
  <c r="AH38"/>
  <c r="AH21"/>
  <c r="AH20"/>
  <c r="AH37"/>
  <c r="AH26"/>
  <c r="AH47"/>
  <c r="AH19"/>
  <c r="AH39"/>
  <c r="AH34"/>
  <c r="AH71"/>
  <c r="AH32"/>
  <c r="AH17"/>
  <c r="AH72"/>
  <c r="AH28"/>
  <c r="AH36"/>
  <c r="AH43"/>
  <c r="AH40"/>
  <c r="AH22"/>
  <c r="AH35"/>
  <c r="AH24"/>
  <c r="AH30"/>
  <c r="AH31"/>
  <c r="AH23"/>
  <c r="AH33"/>
  <c r="BO24" i="11"/>
  <c r="F29" i="23" s="1"/>
  <c r="AJ29" s="1"/>
  <c r="AC6"/>
  <c r="X6"/>
  <c r="BO55" i="11"/>
  <c r="F60" i="23" s="1"/>
  <c r="AJ60" s="1"/>
  <c r="Z6"/>
  <c r="T78"/>
  <c r="Y78" s="1"/>
  <c r="Z78" s="1"/>
  <c r="AI75"/>
  <c r="L75"/>
  <c r="M75"/>
  <c r="DC70" i="11" s="1"/>
  <c r="K75" i="23"/>
  <c r="DA70" i="11" s="1"/>
  <c r="E40" i="2"/>
  <c r="E40" i="23"/>
  <c r="AL40" s="1"/>
  <c r="BV69" i="11"/>
  <c r="BW69" s="1"/>
  <c r="E74" i="23"/>
  <c r="AL74" s="1"/>
  <c r="E18" i="2"/>
  <c r="E18" i="23"/>
  <c r="AL18" s="1"/>
  <c r="E34" i="2"/>
  <c r="L34" s="1"/>
  <c r="E34" i="23"/>
  <c r="AL34" s="1"/>
  <c r="E17" i="2"/>
  <c r="E17" i="23"/>
  <c r="AL17" s="1"/>
  <c r="E33" i="2"/>
  <c r="M33" s="1"/>
  <c r="E33" i="23"/>
  <c r="AL33" s="1"/>
  <c r="E28" i="2"/>
  <c r="AL28" s="1"/>
  <c r="E28" i="23"/>
  <c r="AL28" s="1"/>
  <c r="E44" i="2"/>
  <c r="AL44" s="1"/>
  <c r="E44" i="23"/>
  <c r="AL44" s="1"/>
  <c r="E30" i="2"/>
  <c r="K30" s="1"/>
  <c r="BZ25" i="11" s="1"/>
  <c r="E30" i="23"/>
  <c r="E38" i="2"/>
  <c r="E38" i="23"/>
  <c r="AL38" s="1"/>
  <c r="E46" i="2"/>
  <c r="AI46" s="1"/>
  <c r="E46" i="23"/>
  <c r="AL46" s="1"/>
  <c r="E43" i="2"/>
  <c r="E43" i="23"/>
  <c r="CW69" i="11"/>
  <c r="BI68"/>
  <c r="R2" i="23"/>
  <c r="E71" i="2"/>
  <c r="M71" s="1"/>
  <c r="E71" i="23"/>
  <c r="AL71" s="1"/>
  <c r="E22" i="2"/>
  <c r="K22" s="1"/>
  <c r="BZ17" i="11" s="1"/>
  <c r="E22" i="23"/>
  <c r="E35" i="2"/>
  <c r="AL35" s="1"/>
  <c r="E35" i="23"/>
  <c r="AL35" s="1"/>
  <c r="E24" i="2"/>
  <c r="AI24" s="1"/>
  <c r="E24" i="23"/>
  <c r="AI51"/>
  <c r="L51"/>
  <c r="DB46" i="11" s="1"/>
  <c r="M51" i="23"/>
  <c r="DC46" i="11" s="1"/>
  <c r="K51" i="23"/>
  <c r="DA46" i="11" s="1"/>
  <c r="E47" i="2"/>
  <c r="E47" i="23"/>
  <c r="E49" i="2"/>
  <c r="AL49" s="1"/>
  <c r="E49" i="23"/>
  <c r="AL49" s="1"/>
  <c r="E39" i="2"/>
  <c r="AL39" s="1"/>
  <c r="E39" i="23"/>
  <c r="AL39" s="1"/>
  <c r="AI70"/>
  <c r="L70"/>
  <c r="DB65" i="11" s="1"/>
  <c r="M70" i="23"/>
  <c r="K70"/>
  <c r="DA65" i="11" s="1"/>
  <c r="AI58" i="23"/>
  <c r="L58"/>
  <c r="M58"/>
  <c r="K58"/>
  <c r="DA53" i="11" s="1"/>
  <c r="M52" i="23"/>
  <c r="DC47" i="11" s="1"/>
  <c r="AI52" i="23"/>
  <c r="L52"/>
  <c r="DB47" i="11" s="1"/>
  <c r="K52" i="23"/>
  <c r="DA47" i="11" s="1"/>
  <c r="AI57" i="23"/>
  <c r="L57"/>
  <c r="DB52" i="11" s="1"/>
  <c r="M57" i="23"/>
  <c r="K57"/>
  <c r="DA52" i="11" s="1"/>
  <c r="AH74" i="23"/>
  <c r="AH13"/>
  <c r="AH17"/>
  <c r="AH38"/>
  <c r="AH75"/>
  <c r="AL75"/>
  <c r="AL22"/>
  <c r="AH22"/>
  <c r="AH19"/>
  <c r="AH40"/>
  <c r="E21" i="2"/>
  <c r="L21" s="1"/>
  <c r="E21" i="23"/>
  <c r="AL21" s="1"/>
  <c r="E20" i="2"/>
  <c r="AL20" s="1"/>
  <c r="E20" i="23"/>
  <c r="AL20" s="1"/>
  <c r="E37" i="2"/>
  <c r="AL37" s="1"/>
  <c r="E37" i="23"/>
  <c r="AI62"/>
  <c r="L62"/>
  <c r="DB57" i="11" s="1"/>
  <c r="M62" i="23"/>
  <c r="DC57" i="11" s="1"/>
  <c r="K62" i="23"/>
  <c r="DA57" i="11" s="1"/>
  <c r="L56" i="23"/>
  <c r="DB51" i="11" s="1"/>
  <c r="AI56" i="23"/>
  <c r="M56"/>
  <c r="DC51" i="11" s="1"/>
  <c r="K56" i="23"/>
  <c r="DA51" i="11" s="1"/>
  <c r="M55" i="23"/>
  <c r="AI55"/>
  <c r="L55"/>
  <c r="DB50" i="11" s="1"/>
  <c r="K55" i="23"/>
  <c r="DA50" i="11" s="1"/>
  <c r="BO60"/>
  <c r="F65" i="23" s="1"/>
  <c r="AJ65" s="1"/>
  <c r="E65"/>
  <c r="AL65" s="1"/>
  <c r="AI59"/>
  <c r="L59"/>
  <c r="DB54" i="11" s="1"/>
  <c r="M59" i="23"/>
  <c r="DC54" i="11" s="1"/>
  <c r="K59" i="23"/>
  <c r="DA54" i="11" s="1"/>
  <c r="AI69" i="23"/>
  <c r="L69"/>
  <c r="M69"/>
  <c r="DC64" i="11" s="1"/>
  <c r="K69" i="23"/>
  <c r="DA64" i="11" s="1"/>
  <c r="AI63" i="23"/>
  <c r="L63"/>
  <c r="DB58" i="11" s="1"/>
  <c r="M63" i="23"/>
  <c r="K63"/>
  <c r="DA58" i="11" s="1"/>
  <c r="AL50" i="23"/>
  <c r="AH50"/>
  <c r="AH16"/>
  <c r="AH29"/>
  <c r="AL29"/>
  <c r="AH69"/>
  <c r="AL69"/>
  <c r="AH63"/>
  <c r="AL63"/>
  <c r="AH58"/>
  <c r="AL58"/>
  <c r="AH21"/>
  <c r="AH47"/>
  <c r="AH68"/>
  <c r="AL52"/>
  <c r="AH52"/>
  <c r="AL53"/>
  <c r="AH53"/>
  <c r="AL54"/>
  <c r="AH54"/>
  <c r="AH67"/>
  <c r="AL67"/>
  <c r="AH57"/>
  <c r="AL57"/>
  <c r="AH20"/>
  <c r="AH51"/>
  <c r="AL51"/>
  <c r="AH64"/>
  <c r="AL64"/>
  <c r="AH61"/>
  <c r="AL61"/>
  <c r="AL62"/>
  <c r="AH62"/>
  <c r="AH60"/>
  <c r="AL60"/>
  <c r="AL56"/>
  <c r="AH56"/>
  <c r="AH35"/>
  <c r="AH49"/>
  <c r="AH18"/>
  <c r="AH34"/>
  <c r="AH46"/>
  <c r="E72" i="2"/>
  <c r="M72" s="1"/>
  <c r="E72" i="23"/>
  <c r="AL72" s="1"/>
  <c r="CW8" i="11"/>
  <c r="E13" i="23"/>
  <c r="AL13" s="1"/>
  <c r="E23" i="2"/>
  <c r="L23" s="1"/>
  <c r="E23" i="23"/>
  <c r="AL23" s="1"/>
  <c r="E26" i="2"/>
  <c r="L26" s="1"/>
  <c r="CA21" i="11" s="1"/>
  <c r="E26" i="23"/>
  <c r="AL26" s="1"/>
  <c r="M76"/>
  <c r="U76" s="1"/>
  <c r="W76" s="1"/>
  <c r="AI76"/>
  <c r="L76"/>
  <c r="DB71" i="11" s="1"/>
  <c r="K76" i="23"/>
  <c r="DA71" i="11" s="1"/>
  <c r="AI64" i="23"/>
  <c r="L64"/>
  <c r="DB59" i="11" s="1"/>
  <c r="M64" i="23"/>
  <c r="DC59" i="11" s="1"/>
  <c r="K64" i="23"/>
  <c r="DA59" i="11" s="1"/>
  <c r="L60" i="23"/>
  <c r="DB55" i="11" s="1"/>
  <c r="AI60" i="23"/>
  <c r="M60"/>
  <c r="DC55" i="11" s="1"/>
  <c r="K60" i="23"/>
  <c r="DA55" i="11" s="1"/>
  <c r="M50" i="23"/>
  <c r="DC45" i="11" s="1"/>
  <c r="AI50" i="23"/>
  <c r="L50"/>
  <c r="DB45" i="11" s="1"/>
  <c r="K50" i="23"/>
  <c r="DA45" i="11" s="1"/>
  <c r="L29" i="23"/>
  <c r="T29" s="1"/>
  <c r="Y29" s="1"/>
  <c r="M29"/>
  <c r="DC24" i="11" s="1"/>
  <c r="AI29" i="23"/>
  <c r="K29"/>
  <c r="DA24" i="11" s="1"/>
  <c r="BO63"/>
  <c r="F68" i="23" s="1"/>
  <c r="AJ68" s="1"/>
  <c r="E68"/>
  <c r="AL68" s="1"/>
  <c r="M54"/>
  <c r="DC49" i="11" s="1"/>
  <c r="L54" i="23"/>
  <c r="DB49" i="11" s="1"/>
  <c r="AI54" i="23"/>
  <c r="K54"/>
  <c r="DA49" i="11" s="1"/>
  <c r="AH55" i="23"/>
  <c r="AL55"/>
  <c r="AL70"/>
  <c r="AH70"/>
  <c r="AH65"/>
  <c r="AH25"/>
  <c r="AL59"/>
  <c r="AH59"/>
  <c r="AH12"/>
  <c r="AH32"/>
  <c r="G78"/>
  <c r="AH43"/>
  <c r="AL43"/>
  <c r="E31" i="2"/>
  <c r="AI31" s="1"/>
  <c r="E31" i="23"/>
  <c r="AL31" s="1"/>
  <c r="E32" i="2"/>
  <c r="M32" s="1"/>
  <c r="E32" i="23"/>
  <c r="E36" i="2"/>
  <c r="AL36" s="1"/>
  <c r="E36" i="23"/>
  <c r="AL36" s="1"/>
  <c r="E45" i="2"/>
  <c r="AL45" s="1"/>
  <c r="E45" i="23"/>
  <c r="AL45" s="1"/>
  <c r="CW7" i="11"/>
  <c r="E12" i="23"/>
  <c r="E19" i="2"/>
  <c r="L19" s="1"/>
  <c r="CA14" i="11" s="1"/>
  <c r="E19" i="23"/>
  <c r="AI61"/>
  <c r="L61"/>
  <c r="DB56" i="11" s="1"/>
  <c r="M61" i="23"/>
  <c r="K61"/>
  <c r="DA56" i="11" s="1"/>
  <c r="BO20"/>
  <c r="F25" i="23" s="1"/>
  <c r="AJ25" s="1"/>
  <c r="E25"/>
  <c r="AL25" s="1"/>
  <c r="BO11" i="11"/>
  <c r="F16" i="23" s="1"/>
  <c r="AJ16" s="1"/>
  <c r="E16"/>
  <c r="L53"/>
  <c r="DB48" i="11" s="1"/>
  <c r="AI53" i="23"/>
  <c r="M53"/>
  <c r="DC48" i="11" s="1"/>
  <c r="K53" i="23"/>
  <c r="DA48" i="11" s="1"/>
  <c r="M67" i="23"/>
  <c r="DC62" i="11" s="1"/>
  <c r="L67" i="23"/>
  <c r="AI67"/>
  <c r="K67"/>
  <c r="DA62" i="11" s="1"/>
  <c r="H79" i="23"/>
  <c r="J79"/>
  <c r="I79"/>
  <c r="AH30"/>
  <c r="AL30"/>
  <c r="AH28"/>
  <c r="AH36"/>
  <c r="AH37"/>
  <c r="AL37"/>
  <c r="AH26"/>
  <c r="AH44"/>
  <c r="AH24"/>
  <c r="AL24"/>
  <c r="AH39"/>
  <c r="AH72"/>
  <c r="AH31"/>
  <c r="AH71"/>
  <c r="AH23"/>
  <c r="AH33"/>
  <c r="AH76"/>
  <c r="AL76"/>
  <c r="AH45"/>
  <c r="U78"/>
  <c r="W78" s="1"/>
  <c r="BO69" i="11"/>
  <c r="F74" i="23" s="1"/>
  <c r="AJ74" s="1"/>
  <c r="E74" i="2"/>
  <c r="M74" s="1"/>
  <c r="CB69" i="11" s="1"/>
  <c r="E51" i="2"/>
  <c r="AL51" s="1"/>
  <c r="BV46" i="11"/>
  <c r="BW46" s="1"/>
  <c r="CW46"/>
  <c r="AH64" i="2"/>
  <c r="AH56"/>
  <c r="E50"/>
  <c r="K50" s="1"/>
  <c r="BZ45" i="11" s="1"/>
  <c r="BV45"/>
  <c r="BW45" s="1"/>
  <c r="CW45"/>
  <c r="AH16" i="2"/>
  <c r="AH29"/>
  <c r="AH58"/>
  <c r="E68"/>
  <c r="AL68" s="1"/>
  <c r="BV63" i="11"/>
  <c r="BW63" s="1"/>
  <c r="CW63"/>
  <c r="AH68" i="2"/>
  <c r="AH52"/>
  <c r="AH67"/>
  <c r="AH57"/>
  <c r="AH51"/>
  <c r="E64"/>
  <c r="K64" s="1"/>
  <c r="BZ59" i="11" s="1"/>
  <c r="CW59"/>
  <c r="BV59"/>
  <c r="BW59" s="1"/>
  <c r="E62" i="2"/>
  <c r="AL62" s="1"/>
  <c r="BV57" i="11"/>
  <c r="BW57" s="1"/>
  <c r="CW57"/>
  <c r="AH60" i="2"/>
  <c r="AH55"/>
  <c r="F65"/>
  <c r="AJ65" s="1"/>
  <c r="CX60" i="11"/>
  <c r="E25" i="2"/>
  <c r="AL25" s="1"/>
  <c r="CW20" i="11"/>
  <c r="BV20"/>
  <c r="BW20" s="1"/>
  <c r="AH59" i="2"/>
  <c r="AH69"/>
  <c r="AH63"/>
  <c r="E67"/>
  <c r="K67" s="1"/>
  <c r="BZ62" i="11" s="1"/>
  <c r="CW62"/>
  <c r="BV62"/>
  <c r="BW62" s="1"/>
  <c r="BO59"/>
  <c r="F64" i="23" s="1"/>
  <c r="E61" i="2"/>
  <c r="AL61" s="1"/>
  <c r="BV56" i="11"/>
  <c r="BW56" s="1"/>
  <c r="CW56"/>
  <c r="AH62" i="2"/>
  <c r="E65"/>
  <c r="AL65" s="1"/>
  <c r="CW60" i="11"/>
  <c r="BV60"/>
  <c r="BW60" s="1"/>
  <c r="AH50" i="2"/>
  <c r="CW24" i="11"/>
  <c r="E29" i="2"/>
  <c r="AL29" s="1"/>
  <c r="BV24" i="11"/>
  <c r="BW24" s="1"/>
  <c r="E69" i="2"/>
  <c r="K69" s="1"/>
  <c r="BZ64" i="11" s="1"/>
  <c r="CW64"/>
  <c r="BV64"/>
  <c r="BW64" s="1"/>
  <c r="E63" i="2"/>
  <c r="AL63" s="1"/>
  <c r="CW58" i="11"/>
  <c r="BV58"/>
  <c r="BW58" s="1"/>
  <c r="E58" i="2"/>
  <c r="K58" s="1"/>
  <c r="BZ53" i="11" s="1"/>
  <c r="CW53"/>
  <c r="BV53"/>
  <c r="BW53" s="1"/>
  <c r="E52" i="2"/>
  <c r="K52" s="1"/>
  <c r="BZ47" i="11" s="1"/>
  <c r="CW47"/>
  <c r="BV47"/>
  <c r="BW47" s="1"/>
  <c r="E53" i="2"/>
  <c r="AL53" s="1"/>
  <c r="BV48" i="11"/>
  <c r="BW48" s="1"/>
  <c r="CW48"/>
  <c r="E54" i="2"/>
  <c r="AL54" s="1"/>
  <c r="CW49" i="11"/>
  <c r="BV49"/>
  <c r="BW49" s="1"/>
  <c r="E57" i="2"/>
  <c r="AL57" s="1"/>
  <c r="CW52" i="11"/>
  <c r="BV52"/>
  <c r="BW52" s="1"/>
  <c r="AH61" i="2"/>
  <c r="E60"/>
  <c r="AL60" s="1"/>
  <c r="CW55" i="11"/>
  <c r="BV55"/>
  <c r="BW55" s="1"/>
  <c r="E56" i="2"/>
  <c r="K56" s="1"/>
  <c r="BZ51" i="11" s="1"/>
  <c r="CW51"/>
  <c r="BV51"/>
  <c r="BW51" s="1"/>
  <c r="CW50"/>
  <c r="BV50"/>
  <c r="BW50" s="1"/>
  <c r="E55" i="2"/>
  <c r="K55" s="1"/>
  <c r="BZ50" i="11" s="1"/>
  <c r="E70" i="2"/>
  <c r="AL70" s="1"/>
  <c r="CW65" i="11"/>
  <c r="BV65"/>
  <c r="BW65" s="1"/>
  <c r="AH70" i="2"/>
  <c r="AH65"/>
  <c r="AH25"/>
  <c r="E59"/>
  <c r="AL59" s="1"/>
  <c r="BV54" i="11"/>
  <c r="BW54" s="1"/>
  <c r="CW54"/>
  <c r="E16" i="2"/>
  <c r="K16" s="1"/>
  <c r="BZ11" i="11" s="1"/>
  <c r="CW11"/>
  <c r="BV11"/>
  <c r="BW11" s="1"/>
  <c r="AH53" i="2"/>
  <c r="AH54"/>
  <c r="BO62" i="11"/>
  <c r="F67" i="23" s="1"/>
  <c r="AJ67" s="1"/>
  <c r="AI40" i="2"/>
  <c r="M40"/>
  <c r="L40"/>
  <c r="K40"/>
  <c r="BZ35" i="11" s="1"/>
  <c r="K47" i="2"/>
  <c r="M47"/>
  <c r="AI47"/>
  <c r="L47"/>
  <c r="T47" s="1"/>
  <c r="Y47" s="1"/>
  <c r="Z47" s="1"/>
  <c r="K43"/>
  <c r="BZ38" i="11" s="1"/>
  <c r="AI43" i="2"/>
  <c r="L43"/>
  <c r="T43" s="1"/>
  <c r="Y43" s="1"/>
  <c r="Z43" s="1"/>
  <c r="M43"/>
  <c r="CB38" i="11" s="1"/>
  <c r="L18" i="2"/>
  <c r="CA13" i="11" s="1"/>
  <c r="K18" i="2"/>
  <c r="BZ13" i="11" s="1"/>
  <c r="AI18" i="2"/>
  <c r="M18"/>
  <c r="K23"/>
  <c r="BZ18" i="11" s="1"/>
  <c r="AI21" i="2"/>
  <c r="M21"/>
  <c r="AL17"/>
  <c r="AI17"/>
  <c r="K17"/>
  <c r="BZ12" i="11" s="1"/>
  <c r="L17" i="2"/>
  <c r="CA12" i="11" s="1"/>
  <c r="M17" i="2"/>
  <c r="K32"/>
  <c r="BZ27" i="11" s="1"/>
  <c r="K28" i="2"/>
  <c r="BZ23" i="11" s="1"/>
  <c r="L28" i="2"/>
  <c r="AI28"/>
  <c r="M28"/>
  <c r="K37"/>
  <c r="BZ32" i="11" s="1"/>
  <c r="L37" i="2"/>
  <c r="CA32" i="11" s="1"/>
  <c r="AL21" i="2"/>
  <c r="AI26"/>
  <c r="K38"/>
  <c r="BZ33" i="11" s="1"/>
  <c r="M38" i="2"/>
  <c r="CB33" i="11" s="1"/>
  <c r="L38" i="2"/>
  <c r="CA33" i="11" s="1"/>
  <c r="AI38" i="2"/>
  <c r="AL43"/>
  <c r="AL40"/>
  <c r="AL38"/>
  <c r="BZ74" i="11"/>
  <c r="AI44" i="2"/>
  <c r="L44"/>
  <c r="K44"/>
  <c r="BZ39" i="11" s="1"/>
  <c r="M44" i="2"/>
  <c r="AI71"/>
  <c r="K71"/>
  <c r="BZ66" i="11" s="1"/>
  <c r="L71" i="2"/>
  <c r="CA66" i="11" s="1"/>
  <c r="AI22" i="2"/>
  <c r="M19"/>
  <c r="AI19"/>
  <c r="K19"/>
  <c r="BZ14" i="11" s="1"/>
  <c r="K35" i="2"/>
  <c r="BZ30" i="11" s="1"/>
  <c r="M35" i="2"/>
  <c r="AI35"/>
  <c r="AL19"/>
  <c r="AI45"/>
  <c r="K45"/>
  <c r="M45"/>
  <c r="K49"/>
  <c r="BZ44" i="11" s="1"/>
  <c r="K39" i="2"/>
  <c r="BZ34" i="11" s="1"/>
  <c r="L39" i="2"/>
  <c r="CA34" i="11" s="1"/>
  <c r="M39" i="2"/>
  <c r="AI39"/>
  <c r="AL26"/>
  <c r="AL18"/>
  <c r="AL71"/>
  <c r="AL47"/>
  <c r="E76"/>
  <c r="M76" s="1"/>
  <c r="CB71" i="11" s="1"/>
  <c r="BO71"/>
  <c r="BV71"/>
  <c r="BW71" s="1"/>
  <c r="CW71"/>
  <c r="CW42"/>
  <c r="CW39"/>
  <c r="CW40"/>
  <c r="CW41"/>
  <c r="CW38"/>
  <c r="CW35"/>
  <c r="BV35"/>
  <c r="BW35" s="1"/>
  <c r="CW67"/>
  <c r="BV67"/>
  <c r="BW67" s="1"/>
  <c r="CW66"/>
  <c r="BV66"/>
  <c r="BW66" s="1"/>
  <c r="CW33"/>
  <c r="BV33"/>
  <c r="BW33" s="1"/>
  <c r="CW21"/>
  <c r="BV21"/>
  <c r="BW21" s="1"/>
  <c r="CW17"/>
  <c r="BV17"/>
  <c r="BW17" s="1"/>
  <c r="CW14"/>
  <c r="BV14"/>
  <c r="BW14" s="1"/>
  <c r="CW30"/>
  <c r="BV30"/>
  <c r="BW30" s="1"/>
  <c r="CW19"/>
  <c r="BV19"/>
  <c r="BW19" s="1"/>
  <c r="CW13"/>
  <c r="BV13"/>
  <c r="BW13" s="1"/>
  <c r="CW29"/>
  <c r="BV29"/>
  <c r="BW29" s="1"/>
  <c r="CW26"/>
  <c r="BV26"/>
  <c r="BW26" s="1"/>
  <c r="CW18"/>
  <c r="BV18"/>
  <c r="BW18" s="1"/>
  <c r="CW44"/>
  <c r="BV44"/>
  <c r="BW44" s="1"/>
  <c r="CW34"/>
  <c r="BV34"/>
  <c r="BW34" s="1"/>
  <c r="CX55"/>
  <c r="CW25"/>
  <c r="BV25"/>
  <c r="BW25" s="1"/>
  <c r="CW16"/>
  <c r="BV16"/>
  <c r="BW16" s="1"/>
  <c r="CW12"/>
  <c r="BV12"/>
  <c r="BW12" s="1"/>
  <c r="CW27"/>
  <c r="BV27"/>
  <c r="BW27" s="1"/>
  <c r="CW28"/>
  <c r="BV28"/>
  <c r="BW28" s="1"/>
  <c r="CW23"/>
  <c r="BV23"/>
  <c r="BW23" s="1"/>
  <c r="CW15"/>
  <c r="BV15"/>
  <c r="BW15" s="1"/>
  <c r="CW31"/>
  <c r="BV31"/>
  <c r="BW31" s="1"/>
  <c r="CW32"/>
  <c r="BV32"/>
  <c r="BW32" s="1"/>
  <c r="BO21"/>
  <c r="BO18"/>
  <c r="BO54"/>
  <c r="AH76" i="2"/>
  <c r="AH13"/>
  <c r="AH75"/>
  <c r="AH74"/>
  <c r="AH12"/>
  <c r="BV42" i="11"/>
  <c r="BW42" s="1"/>
  <c r="BV41"/>
  <c r="BW41" s="1"/>
  <c r="BO7"/>
  <c r="F12" i="23" s="1"/>
  <c r="AJ12" s="1"/>
  <c r="BV7" i="11"/>
  <c r="BW7" s="1"/>
  <c r="BO12"/>
  <c r="BO66"/>
  <c r="BS69"/>
  <c r="CT69"/>
  <c r="BO8"/>
  <c r="F13" i="2" s="1"/>
  <c r="AJ13" s="1"/>
  <c r="BV8" i="11"/>
  <c r="BW8" s="1"/>
  <c r="BO28"/>
  <c r="BO51"/>
  <c r="BO65"/>
  <c r="BO30"/>
  <c r="BO13"/>
  <c r="BO25"/>
  <c r="BO47"/>
  <c r="BO23"/>
  <c r="BO53"/>
  <c r="BO52"/>
  <c r="BO29"/>
  <c r="BV40"/>
  <c r="BW40" s="1"/>
  <c r="BO50"/>
  <c r="BO49"/>
  <c r="BO48"/>
  <c r="BO17"/>
  <c r="CX73"/>
  <c r="BO57"/>
  <c r="BO16"/>
  <c r="BO70"/>
  <c r="F75" i="23" s="1"/>
  <c r="BV70" i="11"/>
  <c r="BW70" s="1"/>
  <c r="CW70"/>
  <c r="BO38"/>
  <c r="BV38"/>
  <c r="BW38" s="1"/>
  <c r="BO15"/>
  <c r="F78" i="2"/>
  <c r="AJ78" s="1"/>
  <c r="BO64" i="11"/>
  <c r="BO26"/>
  <c r="BO27"/>
  <c r="BO31"/>
  <c r="BO46"/>
  <c r="BO35"/>
  <c r="BO39"/>
  <c r="BV39"/>
  <c r="BW39" s="1"/>
  <c r="BO44"/>
  <c r="BO45"/>
  <c r="BO14"/>
  <c r="M78" i="2"/>
  <c r="CB73" i="11" s="1"/>
  <c r="AI78" i="2"/>
  <c r="BO32" i="11"/>
  <c r="E12" i="2"/>
  <c r="E13"/>
  <c r="BO41" i="11"/>
  <c r="BO19"/>
  <c r="BO67"/>
  <c r="BO58"/>
  <c r="O2" i="2"/>
  <c r="BO33" i="11"/>
  <c r="E75" i="2"/>
  <c r="BO56" i="11"/>
  <c r="BK67"/>
  <c r="B74" i="2"/>
  <c r="AF74" s="1"/>
  <c r="BO40" i="11"/>
  <c r="BO42"/>
  <c r="BO34"/>
  <c r="L45" i="2" l="1"/>
  <c r="T45" s="1"/>
  <c r="Y45" s="1"/>
  <c r="Z45" s="1"/>
  <c r="AL32"/>
  <c r="L32"/>
  <c r="CA27" i="11" s="1"/>
  <c r="F60" i="2"/>
  <c r="AJ60" s="1"/>
  <c r="AI74"/>
  <c r="AI32"/>
  <c r="L72"/>
  <c r="CA67" i="11" s="1"/>
  <c r="G60" i="23"/>
  <c r="I60" s="1"/>
  <c r="L49" i="2"/>
  <c r="M22"/>
  <c r="M23"/>
  <c r="L24"/>
  <c r="CA19" i="11" s="1"/>
  <c r="AL23" i="2"/>
  <c r="AL22"/>
  <c r="M24"/>
  <c r="AI72"/>
  <c r="T18"/>
  <c r="Y18" s="1"/>
  <c r="Z18" s="1"/>
  <c r="AL31"/>
  <c r="M31"/>
  <c r="F74"/>
  <c r="AJ74" s="1"/>
  <c r="F16"/>
  <c r="AJ16" s="1"/>
  <c r="K68"/>
  <c r="BZ63" i="11" s="1"/>
  <c r="L36" i="2"/>
  <c r="K34"/>
  <c r="BZ29" i="11" s="1"/>
  <c r="CX69"/>
  <c r="AL24" i="2"/>
  <c r="AI49"/>
  <c r="K24"/>
  <c r="BZ19" i="11" s="1"/>
  <c r="L22" i="2"/>
  <c r="CA17" i="11" s="1"/>
  <c r="AL72" i="2"/>
  <c r="M37"/>
  <c r="AI36"/>
  <c r="K21"/>
  <c r="BZ16" i="11" s="1"/>
  <c r="AI23" i="2"/>
  <c r="K31"/>
  <c r="BZ26" i="11" s="1"/>
  <c r="K72" i="2"/>
  <c r="BZ67" i="11" s="1"/>
  <c r="AI33" i="2"/>
  <c r="M49"/>
  <c r="AI37"/>
  <c r="M36"/>
  <c r="L31"/>
  <c r="AL33"/>
  <c r="AL34"/>
  <c r="L46"/>
  <c r="T46" s="1"/>
  <c r="Y46" s="1"/>
  <c r="Z46" s="1"/>
  <c r="K61"/>
  <c r="BZ56" i="11" s="1"/>
  <c r="M30" i="2"/>
  <c r="CB25" i="11" s="1"/>
  <c r="U56" i="23"/>
  <c r="W56" s="1"/>
  <c r="T51"/>
  <c r="Y51" s="1"/>
  <c r="Z51" s="1"/>
  <c r="U53"/>
  <c r="W53" s="1"/>
  <c r="H60"/>
  <c r="CZ55" i="11" s="1"/>
  <c r="T62" i="23"/>
  <c r="L35" i="2"/>
  <c r="CA30" i="11" s="1"/>
  <c r="K26" i="2"/>
  <c r="BZ21" i="11" s="1"/>
  <c r="CX24"/>
  <c r="T59" i="23"/>
  <c r="Y59" s="1"/>
  <c r="Z59" s="1"/>
  <c r="M26" i="2"/>
  <c r="CB21" i="11" s="1"/>
  <c r="F29" i="2"/>
  <c r="AJ29" s="1"/>
  <c r="AI20"/>
  <c r="G29" i="23"/>
  <c r="J29" s="1"/>
  <c r="AC29" s="1"/>
  <c r="M46" i="2"/>
  <c r="T55" i="23"/>
  <c r="Y55" s="1"/>
  <c r="Z55" s="1"/>
  <c r="K60" i="2"/>
  <c r="BZ55" i="11" s="1"/>
  <c r="AI30" i="2"/>
  <c r="L20"/>
  <c r="L33"/>
  <c r="CA28" i="11" s="1"/>
  <c r="M34" i="2"/>
  <c r="CB29" i="11" s="1"/>
  <c r="CX63"/>
  <c r="K57" i="2"/>
  <c r="BZ52" i="11" s="1"/>
  <c r="K53" i="2"/>
  <c r="BZ48" i="11" s="1"/>
  <c r="K25" i="2"/>
  <c r="BZ20" i="11" s="1"/>
  <c r="AL30" i="2"/>
  <c r="L30"/>
  <c r="K20"/>
  <c r="BZ15" i="11" s="1"/>
  <c r="K33" i="2"/>
  <c r="BZ28" i="11" s="1"/>
  <c r="AI34" i="2"/>
  <c r="K46"/>
  <c r="F25"/>
  <c r="AJ25" s="1"/>
  <c r="U51" i="23"/>
  <c r="W51" s="1"/>
  <c r="K29" i="2"/>
  <c r="BZ24" i="11" s="1"/>
  <c r="AL46" i="2"/>
  <c r="M20"/>
  <c r="F68"/>
  <c r="AJ68" s="1"/>
  <c r="U59" i="23"/>
  <c r="W59" s="1"/>
  <c r="K62" i="2"/>
  <c r="BZ57" i="11" s="1"/>
  <c r="K70" i="2"/>
  <c r="BZ65" i="11" s="1"/>
  <c r="T61" i="23"/>
  <c r="Y61" s="1"/>
  <c r="Z61" s="1"/>
  <c r="T60"/>
  <c r="Y60" s="1"/>
  <c r="Z60" s="1"/>
  <c r="CX20" i="11"/>
  <c r="J60" i="23"/>
  <c r="U60"/>
  <c r="W60" s="1"/>
  <c r="T64"/>
  <c r="Y64" s="1"/>
  <c r="Z64" s="1"/>
  <c r="T76"/>
  <c r="Y76" s="1"/>
  <c r="Z76" s="1"/>
  <c r="T57"/>
  <c r="U75"/>
  <c r="W75" s="1"/>
  <c r="K59" i="2"/>
  <c r="BZ54" i="11" s="1"/>
  <c r="K63" i="2"/>
  <c r="BZ58" i="11" s="1"/>
  <c r="K51" i="2"/>
  <c r="BZ46" i="11" s="1"/>
  <c r="K36" i="2"/>
  <c r="BZ31" i="11" s="1"/>
  <c r="Z29" i="23"/>
  <c r="T63"/>
  <c r="Y63" s="1"/>
  <c r="Z63" s="1"/>
  <c r="T52"/>
  <c r="Y52" s="1"/>
  <c r="U52"/>
  <c r="W52" s="1"/>
  <c r="AL50" i="2"/>
  <c r="U54" i="23"/>
  <c r="W54" s="1"/>
  <c r="U50"/>
  <c r="W50" s="1"/>
  <c r="U62"/>
  <c r="W62" s="1"/>
  <c r="T70"/>
  <c r="Y70" s="1"/>
  <c r="Z70" s="1"/>
  <c r="F63" i="2"/>
  <c r="AJ63" s="1"/>
  <c r="F63" i="23"/>
  <c r="F57" i="2"/>
  <c r="G57" s="1"/>
  <c r="F57" i="23"/>
  <c r="F23" i="2"/>
  <c r="AJ23" s="1"/>
  <c r="F23" i="23"/>
  <c r="AJ23" s="1"/>
  <c r="AJ64"/>
  <c r="G64"/>
  <c r="CZ74" i="11"/>
  <c r="U67" i="23"/>
  <c r="W67" s="1"/>
  <c r="T53"/>
  <c r="L16"/>
  <c r="DB11" i="11" s="1"/>
  <c r="AI16" i="23"/>
  <c r="M16"/>
  <c r="DC11" i="11" s="1"/>
  <c r="G16" i="23"/>
  <c r="I16" s="1"/>
  <c r="K16"/>
  <c r="DA11" i="11" s="1"/>
  <c r="AL16" i="23"/>
  <c r="DC56" i="11"/>
  <c r="U61" i="23"/>
  <c r="W61" s="1"/>
  <c r="T54"/>
  <c r="DC50" i="11"/>
  <c r="U55" i="23"/>
  <c r="W55" s="1"/>
  <c r="Y62"/>
  <c r="DC52" i="11"/>
  <c r="U57" i="23"/>
  <c r="W57" s="1"/>
  <c r="Z52"/>
  <c r="DB53" i="11"/>
  <c r="T58" i="23"/>
  <c r="M39"/>
  <c r="DC34" i="11" s="1"/>
  <c r="L39" i="23"/>
  <c r="DB34" i="11" s="1"/>
  <c r="AI39" i="23"/>
  <c r="K39"/>
  <c r="DA34" i="11" s="1"/>
  <c r="AI47" i="23"/>
  <c r="L47"/>
  <c r="DB42" i="11" s="1"/>
  <c r="M47" i="23"/>
  <c r="DC42" i="11" s="1"/>
  <c r="K47" i="23"/>
  <c r="DA42" i="11" s="1"/>
  <c r="AL47" i="23"/>
  <c r="F69" i="2"/>
  <c r="F69" i="23"/>
  <c r="F54" i="2"/>
  <c r="F54" i="23"/>
  <c r="F47" i="2"/>
  <c r="F47" i="23"/>
  <c r="AJ47" s="1"/>
  <c r="F50" i="2"/>
  <c r="F50" i="23"/>
  <c r="F56" i="2"/>
  <c r="F56" i="23"/>
  <c r="F71" i="2"/>
  <c r="F71" i="23"/>
  <c r="AJ71" s="1"/>
  <c r="F32" i="2"/>
  <c r="F32" i="23"/>
  <c r="AJ32" s="1"/>
  <c r="G67"/>
  <c r="DB24" i="11"/>
  <c r="DC71"/>
  <c r="DC65"/>
  <c r="U70" i="23"/>
  <c r="W70" s="1"/>
  <c r="F39" i="2"/>
  <c r="AJ39" s="1"/>
  <c r="F39" i="23"/>
  <c r="AJ39" s="1"/>
  <c r="F61" i="2"/>
  <c r="G61" s="1"/>
  <c r="F61" i="23"/>
  <c r="F24" i="2"/>
  <c r="AJ24" s="1"/>
  <c r="F24" i="23"/>
  <c r="AJ24" s="1"/>
  <c r="F19" i="2"/>
  <c r="F19" i="23"/>
  <c r="AJ19" s="1"/>
  <c r="F51" i="2"/>
  <c r="F51" i="23"/>
  <c r="F62" i="2"/>
  <c r="F62" i="23"/>
  <c r="F34" i="2"/>
  <c r="F34" i="23"/>
  <c r="AJ34" s="1"/>
  <c r="F52" i="2"/>
  <c r="F52" i="23"/>
  <c r="F70" i="2"/>
  <c r="F70" i="23"/>
  <c r="F59" i="2"/>
  <c r="G59" s="1"/>
  <c r="F59" i="23"/>
  <c r="F76"/>
  <c r="F36" i="2"/>
  <c r="F36" i="23"/>
  <c r="AJ36" s="1"/>
  <c r="F53" i="2"/>
  <c r="G53" s="1"/>
  <c r="F53" i="23"/>
  <c r="F55" i="2"/>
  <c r="F55" i="23"/>
  <c r="F30" i="2"/>
  <c r="G30" s="1"/>
  <c r="F30" i="23"/>
  <c r="AJ30" s="1"/>
  <c r="CX8" i="11"/>
  <c r="F13" i="23"/>
  <c r="AJ13" s="1"/>
  <c r="F72" i="2"/>
  <c r="AJ72" s="1"/>
  <c r="F72" i="23"/>
  <c r="AJ72" s="1"/>
  <c r="F46" i="2"/>
  <c r="F46" i="23"/>
  <c r="AJ46" s="1"/>
  <c r="F49" i="2"/>
  <c r="AJ49" s="1"/>
  <c r="F49" i="23"/>
  <c r="AJ49" s="1"/>
  <c r="F44" i="2"/>
  <c r="F44" i="23"/>
  <c r="AJ44" s="1"/>
  <c r="F20" i="2"/>
  <c r="AJ20" s="1"/>
  <c r="F20" i="23"/>
  <c r="AJ20" s="1"/>
  <c r="F43" i="2"/>
  <c r="F43" i="23"/>
  <c r="AJ43" s="1"/>
  <c r="AJ75"/>
  <c r="G75"/>
  <c r="F58" i="2"/>
  <c r="F58" i="23"/>
  <c r="F18" i="2"/>
  <c r="AJ18" s="1"/>
  <c r="F18" i="23"/>
  <c r="AJ18" s="1"/>
  <c r="F33" i="2"/>
  <c r="F33" i="23"/>
  <c r="AJ33" s="1"/>
  <c r="F17" i="2"/>
  <c r="AJ17" s="1"/>
  <c r="F17" i="23"/>
  <c r="AJ17" s="1"/>
  <c r="F45" i="2"/>
  <c r="AJ45" s="1"/>
  <c r="F45" i="23"/>
  <c r="AJ45" s="1"/>
  <c r="B72" i="2"/>
  <c r="AF72" s="1"/>
  <c r="B72" i="23"/>
  <c r="AF72" s="1"/>
  <c r="F38" i="2"/>
  <c r="F38" i="23"/>
  <c r="AJ38" s="1"/>
  <c r="F37" i="2"/>
  <c r="G37" s="1"/>
  <c r="F37" i="23"/>
  <c r="AJ37" s="1"/>
  <c r="F40" i="2"/>
  <c r="F40" i="23"/>
  <c r="AJ40" s="1"/>
  <c r="F31" i="2"/>
  <c r="G31" s="1"/>
  <c r="F31" i="23"/>
  <c r="AJ31" s="1"/>
  <c r="F21" i="2"/>
  <c r="F21" i="23"/>
  <c r="AJ21" s="1"/>
  <c r="F22" i="2"/>
  <c r="AJ22" s="1"/>
  <c r="F22" i="23"/>
  <c r="AJ22" s="1"/>
  <c r="F28" i="2"/>
  <c r="AJ28" s="1"/>
  <c r="F28" i="23"/>
  <c r="AJ28" s="1"/>
  <c r="F35" i="2"/>
  <c r="AJ35" s="1"/>
  <c r="F35" i="23"/>
  <c r="AJ35" s="1"/>
  <c r="F26" i="2"/>
  <c r="AJ26" s="1"/>
  <c r="F26" i="23"/>
  <c r="AJ26" s="1"/>
  <c r="K54" i="2"/>
  <c r="BZ49" i="11" s="1"/>
  <c r="K65" i="2"/>
  <c r="BZ60" i="11" s="1"/>
  <c r="CX11"/>
  <c r="AI25" i="23"/>
  <c r="G25"/>
  <c r="H25" s="1"/>
  <c r="L25"/>
  <c r="DB20" i="11" s="1"/>
  <c r="M25" i="23"/>
  <c r="DC20" i="11" s="1"/>
  <c r="K25" i="23"/>
  <c r="DA20" i="11" s="1"/>
  <c r="U29" i="23"/>
  <c r="W29" s="1"/>
  <c r="X29" s="1"/>
  <c r="O29" s="1"/>
  <c r="T50"/>
  <c r="U64"/>
  <c r="W64" s="1"/>
  <c r="L26"/>
  <c r="DB21" i="11" s="1"/>
  <c r="AI26" i="23"/>
  <c r="M26"/>
  <c r="DC21" i="11" s="1"/>
  <c r="K26" i="23"/>
  <c r="DA21" i="11" s="1"/>
  <c r="AI13" i="23"/>
  <c r="L13"/>
  <c r="DB8" i="11" s="1"/>
  <c r="M13" i="23"/>
  <c r="DC8" i="11" s="1"/>
  <c r="K13" i="23"/>
  <c r="DA8" i="11" s="1"/>
  <c r="Y57" i="23"/>
  <c r="Z57" s="1"/>
  <c r="L43"/>
  <c r="DB38" i="11" s="1"/>
  <c r="AI43" i="23"/>
  <c r="M43"/>
  <c r="DC38" i="11" s="1"/>
  <c r="K43" i="23"/>
  <c r="DA38" i="11" s="1"/>
  <c r="DB70"/>
  <c r="T75" i="23"/>
  <c r="Y75" s="1"/>
  <c r="AC79"/>
  <c r="X79"/>
  <c r="O79" s="1"/>
  <c r="DB62" i="11"/>
  <c r="T67" i="23"/>
  <c r="AI19"/>
  <c r="L19"/>
  <c r="DB14" i="11" s="1"/>
  <c r="M19" i="23"/>
  <c r="DC14" i="11" s="1"/>
  <c r="K19" i="23"/>
  <c r="DA14" i="11" s="1"/>
  <c r="AL19" i="23"/>
  <c r="L45"/>
  <c r="DB40" i="11" s="1"/>
  <c r="AI45" i="23"/>
  <c r="M45"/>
  <c r="DC40" i="11" s="1"/>
  <c r="K45" i="23"/>
  <c r="DA40" i="11" s="1"/>
  <c r="L32" i="23"/>
  <c r="DB27" i="11" s="1"/>
  <c r="M32" i="23"/>
  <c r="DC27" i="11" s="1"/>
  <c r="AI32" i="23"/>
  <c r="K32"/>
  <c r="DA27" i="11" s="1"/>
  <c r="AL32" i="23"/>
  <c r="G68"/>
  <c r="J68" s="1"/>
  <c r="M68"/>
  <c r="DC63" i="11" s="1"/>
  <c r="AI68" i="23"/>
  <c r="L68"/>
  <c r="DB63" i="11" s="1"/>
  <c r="K68" i="23"/>
  <c r="DA63" i="11" s="1"/>
  <c r="DC58"/>
  <c r="U63" i="23"/>
  <c r="W63" s="1"/>
  <c r="DB64" i="11"/>
  <c r="T69" i="23"/>
  <c r="M37"/>
  <c r="DC32" i="11" s="1"/>
  <c r="L37" i="23"/>
  <c r="DB32" i="11" s="1"/>
  <c r="AI37" i="23"/>
  <c r="K37"/>
  <c r="DA32" i="11" s="1"/>
  <c r="L21" i="23"/>
  <c r="DB16" i="11" s="1"/>
  <c r="M21" i="23"/>
  <c r="DC16" i="11" s="1"/>
  <c r="AI21" i="23"/>
  <c r="K21"/>
  <c r="DA16" i="11" s="1"/>
  <c r="DC53"/>
  <c r="U58" i="23"/>
  <c r="W58" s="1"/>
  <c r="AI24"/>
  <c r="L24"/>
  <c r="DB19" i="11" s="1"/>
  <c r="M24" i="23"/>
  <c r="DC19" i="11" s="1"/>
  <c r="K24" i="23"/>
  <c r="DA19" i="11" s="1"/>
  <c r="AI22" i="23"/>
  <c r="L22"/>
  <c r="DB17" i="11" s="1"/>
  <c r="M22" i="23"/>
  <c r="DC17" i="11" s="1"/>
  <c r="K22" i="23"/>
  <c r="DA17" i="11" s="1"/>
  <c r="AI38" i="23"/>
  <c r="M38"/>
  <c r="DC33" i="11" s="1"/>
  <c r="L38" i="23"/>
  <c r="DB33" i="11" s="1"/>
  <c r="K38" i="23"/>
  <c r="DA33" i="11" s="1"/>
  <c r="L44" i="23"/>
  <c r="DB39" i="11" s="1"/>
  <c r="AI44" i="23"/>
  <c r="M44"/>
  <c r="DC39" i="11" s="1"/>
  <c r="K44" i="23"/>
  <c r="DA39" i="11" s="1"/>
  <c r="L28" i="23"/>
  <c r="DB23" i="11" s="1"/>
  <c r="AI28" i="23"/>
  <c r="M28"/>
  <c r="DC23" i="11" s="1"/>
  <c r="K28" i="23"/>
  <c r="DA23" i="11" s="1"/>
  <c r="AI17" i="23"/>
  <c r="L17"/>
  <c r="DB12" i="11" s="1"/>
  <c r="M17" i="23"/>
  <c r="DC12" i="11" s="1"/>
  <c r="K17" i="23"/>
  <c r="DA12" i="11" s="1"/>
  <c r="L18" i="23"/>
  <c r="DB13" i="11" s="1"/>
  <c r="M18" i="23"/>
  <c r="DC13" i="11" s="1"/>
  <c r="AI18" i="23"/>
  <c r="K18"/>
  <c r="DA13" i="11" s="1"/>
  <c r="AI40" i="23"/>
  <c r="M40"/>
  <c r="DC35" i="11" s="1"/>
  <c r="L40" i="23"/>
  <c r="DB35" i="11" s="1"/>
  <c r="K40" i="23"/>
  <c r="DA35" i="11" s="1"/>
  <c r="M12" i="23"/>
  <c r="DC7" i="11" s="1"/>
  <c r="AI12" i="23"/>
  <c r="L12"/>
  <c r="DB7" i="11" s="1"/>
  <c r="G12" i="23"/>
  <c r="I12" s="1"/>
  <c r="K12"/>
  <c r="DA7" i="11" s="1"/>
  <c r="L36" i="23"/>
  <c r="DB31" i="11" s="1"/>
  <c r="M36" i="23"/>
  <c r="DC31" i="11" s="1"/>
  <c r="AI36" i="23"/>
  <c r="K36"/>
  <c r="DA31" i="11" s="1"/>
  <c r="L31" i="23"/>
  <c r="DB26" i="11" s="1"/>
  <c r="M31" i="23"/>
  <c r="DC26" i="11" s="1"/>
  <c r="AI31" i="23"/>
  <c r="K31"/>
  <c r="DA26" i="11" s="1"/>
  <c r="H78" i="23"/>
  <c r="I78"/>
  <c r="J78"/>
  <c r="AC78" s="1"/>
  <c r="AL12"/>
  <c r="L23"/>
  <c r="DB18" i="11" s="1"/>
  <c r="G23" i="23"/>
  <c r="H23" s="1"/>
  <c r="AI23"/>
  <c r="M23"/>
  <c r="DC18" i="11" s="1"/>
  <c r="K23" i="23"/>
  <c r="DA18" i="11" s="1"/>
  <c r="AI72" i="23"/>
  <c r="L72"/>
  <c r="DB67" i="11" s="1"/>
  <c r="M72" i="23"/>
  <c r="DC67" i="11" s="1"/>
  <c r="K72" i="23"/>
  <c r="DA67" i="11" s="1"/>
  <c r="U69" i="23"/>
  <c r="W69" s="1"/>
  <c r="AI65"/>
  <c r="L65"/>
  <c r="DB60" i="11" s="1"/>
  <c r="G65" i="23"/>
  <c r="I65" s="1"/>
  <c r="M65"/>
  <c r="DC60" i="11" s="1"/>
  <c r="K65" i="23"/>
  <c r="DA60" i="11" s="1"/>
  <c r="T56" i="23"/>
  <c r="M20"/>
  <c r="DC15" i="11" s="1"/>
  <c r="L20" i="23"/>
  <c r="DB15" i="11" s="1"/>
  <c r="AI20" i="23"/>
  <c r="K20"/>
  <c r="DA15" i="11" s="1"/>
  <c r="AI49" i="23"/>
  <c r="M49"/>
  <c r="DC44" i="11" s="1"/>
  <c r="L49" i="23"/>
  <c r="DB44" i="11" s="1"/>
  <c r="K49" i="23"/>
  <c r="DA44" i="11" s="1"/>
  <c r="L35" i="23"/>
  <c r="DB30" i="11" s="1"/>
  <c r="M35" i="23"/>
  <c r="DC30" i="11" s="1"/>
  <c r="AI35" i="23"/>
  <c r="K35"/>
  <c r="DA30" i="11" s="1"/>
  <c r="L71" i="23"/>
  <c r="DB66" i="11" s="1"/>
  <c r="M71" i="23"/>
  <c r="DC66" i="11" s="1"/>
  <c r="AI71" i="23"/>
  <c r="K71"/>
  <c r="DA66" i="11" s="1"/>
  <c r="L46" i="23"/>
  <c r="DB41" i="11" s="1"/>
  <c r="AI46" i="23"/>
  <c r="M46"/>
  <c r="DC41" i="11" s="1"/>
  <c r="K46" i="23"/>
  <c r="DA41" i="11" s="1"/>
  <c r="L30" i="23"/>
  <c r="DB25" i="11" s="1"/>
  <c r="M30" i="23"/>
  <c r="DC25" i="11" s="1"/>
  <c r="AI30" i="23"/>
  <c r="G30"/>
  <c r="I30" s="1"/>
  <c r="K30"/>
  <c r="DA25" i="11" s="1"/>
  <c r="M33" i="23"/>
  <c r="DC28" i="11" s="1"/>
  <c r="L33" i="23"/>
  <c r="DB28" i="11" s="1"/>
  <c r="AI33" i="23"/>
  <c r="K33"/>
  <c r="DA28" i="11" s="1"/>
  <c r="L34" i="23"/>
  <c r="DB29" i="11" s="1"/>
  <c r="M34" i="23"/>
  <c r="DC29" i="11" s="1"/>
  <c r="AI34" i="23"/>
  <c r="G34"/>
  <c r="I34" s="1"/>
  <c r="K34"/>
  <c r="DA29" i="11" s="1"/>
  <c r="G74" i="23"/>
  <c r="H74" s="1"/>
  <c r="CZ69" i="11" s="1"/>
  <c r="AI74" i="23"/>
  <c r="M74"/>
  <c r="DC69" i="11" s="1"/>
  <c r="L74" i="23"/>
  <c r="DB69" i="11" s="1"/>
  <c r="K74" i="23"/>
  <c r="DA69" i="11" s="1"/>
  <c r="F76" i="2"/>
  <c r="AJ76" s="1"/>
  <c r="G60"/>
  <c r="I60" s="1"/>
  <c r="T39"/>
  <c r="Y39" s="1"/>
  <c r="Z39" s="1"/>
  <c r="U24"/>
  <c r="W24" s="1"/>
  <c r="CB19" i="11"/>
  <c r="U19" i="2"/>
  <c r="W19" s="1"/>
  <c r="CB14" i="11"/>
  <c r="U38" i="2"/>
  <c r="W38" s="1"/>
  <c r="U36"/>
  <c r="W36" s="1"/>
  <c r="CB31" i="11"/>
  <c r="U21" i="2"/>
  <c r="W21" s="1"/>
  <c r="CB16" i="11"/>
  <c r="U23" i="2"/>
  <c r="W23" s="1"/>
  <c r="CB18" i="11"/>
  <c r="U31" i="2"/>
  <c r="W31" s="1"/>
  <c r="CB26" i="11"/>
  <c r="U49" i="2"/>
  <c r="W49" s="1"/>
  <c r="CB44" i="11"/>
  <c r="U22" i="2"/>
  <c r="W22" s="1"/>
  <c r="CB17" i="11"/>
  <c r="U71" i="2"/>
  <c r="W71" s="1"/>
  <c r="CB66" i="11"/>
  <c r="U44" i="2"/>
  <c r="W44" s="1"/>
  <c r="CB39" i="11"/>
  <c r="U37" i="2"/>
  <c r="W37" s="1"/>
  <c r="CB32" i="11"/>
  <c r="U20" i="2"/>
  <c r="W20" s="1"/>
  <c r="CB15" i="11"/>
  <c r="U33" i="2"/>
  <c r="W33" s="1"/>
  <c r="CB28" i="11"/>
  <c r="U18" i="2"/>
  <c r="W18" s="1"/>
  <c r="CB13" i="11"/>
  <c r="U72" i="2"/>
  <c r="W72" s="1"/>
  <c r="CB67" i="11"/>
  <c r="U46" i="2"/>
  <c r="W46" s="1"/>
  <c r="CB41" i="11"/>
  <c r="U39" i="2"/>
  <c r="W39" s="1"/>
  <c r="CB34" i="11"/>
  <c r="U45" i="2"/>
  <c r="W45" s="1"/>
  <c r="CB40" i="11"/>
  <c r="U32" i="2"/>
  <c r="W32" s="1"/>
  <c r="CB27" i="11"/>
  <c r="U35" i="2"/>
  <c r="W35" s="1"/>
  <c r="CB30" i="11"/>
  <c r="U28" i="2"/>
  <c r="W28" s="1"/>
  <c r="CB23" i="11"/>
  <c r="U17" i="2"/>
  <c r="W17" s="1"/>
  <c r="CB12" i="11"/>
  <c r="U47" i="2"/>
  <c r="W47" s="1"/>
  <c r="CB42" i="11"/>
  <c r="U40" i="2"/>
  <c r="W40" s="1"/>
  <c r="CB35" i="11"/>
  <c r="AI76" i="2"/>
  <c r="CX71" i="11"/>
  <c r="CX7"/>
  <c r="T19" i="2"/>
  <c r="Y19" s="1"/>
  <c r="Z19" s="1"/>
  <c r="T26"/>
  <c r="Y26" s="1"/>
  <c r="T37"/>
  <c r="Y37" s="1"/>
  <c r="AI70"/>
  <c r="M70"/>
  <c r="L70"/>
  <c r="AI56"/>
  <c r="L56"/>
  <c r="M56"/>
  <c r="AI60"/>
  <c r="M60"/>
  <c r="L60"/>
  <c r="AI29"/>
  <c r="G29"/>
  <c r="H29" s="1"/>
  <c r="M29"/>
  <c r="L29"/>
  <c r="AI50"/>
  <c r="M50"/>
  <c r="L50"/>
  <c r="AI51"/>
  <c r="M51"/>
  <c r="L51"/>
  <c r="AI55"/>
  <c r="L55"/>
  <c r="M55"/>
  <c r="AI68"/>
  <c r="L68"/>
  <c r="M68"/>
  <c r="CB63" i="11" s="1"/>
  <c r="AL56" i="2"/>
  <c r="T22"/>
  <c r="Y22" s="1"/>
  <c r="AI16"/>
  <c r="G16"/>
  <c r="J16" s="1"/>
  <c r="L16"/>
  <c r="M16"/>
  <c r="AI59"/>
  <c r="L59"/>
  <c r="M59"/>
  <c r="AI57"/>
  <c r="M57"/>
  <c r="L57"/>
  <c r="AI54"/>
  <c r="L54"/>
  <c r="M54"/>
  <c r="AI53"/>
  <c r="L53"/>
  <c r="M53"/>
  <c r="AI52"/>
  <c r="M52"/>
  <c r="L52"/>
  <c r="AI58"/>
  <c r="L58"/>
  <c r="M58"/>
  <c r="AI63"/>
  <c r="L63"/>
  <c r="M63"/>
  <c r="AI69"/>
  <c r="M69"/>
  <c r="L69"/>
  <c r="AI61"/>
  <c r="L61"/>
  <c r="M61"/>
  <c r="AI25"/>
  <c r="L25"/>
  <c r="M25"/>
  <c r="CB20" i="11" s="1"/>
  <c r="AL55" i="2"/>
  <c r="AI62"/>
  <c r="M62"/>
  <c r="L62"/>
  <c r="AI64"/>
  <c r="L64"/>
  <c r="M64"/>
  <c r="AL52"/>
  <c r="AL58"/>
  <c r="T17"/>
  <c r="Y17" s="1"/>
  <c r="F67"/>
  <c r="AJ67" s="1"/>
  <c r="CX62" i="11"/>
  <c r="AI65" i="2"/>
  <c r="G65"/>
  <c r="J65" s="1"/>
  <c r="L65"/>
  <c r="M65"/>
  <c r="CB60" i="11" s="1"/>
  <c r="F64" i="2"/>
  <c r="AJ64" s="1"/>
  <c r="CX59" i="11"/>
  <c r="AI67" i="2"/>
  <c r="L67"/>
  <c r="M67"/>
  <c r="AL69"/>
  <c r="AL67"/>
  <c r="AL16"/>
  <c r="AL64"/>
  <c r="T31"/>
  <c r="Y31" s="1"/>
  <c r="Z31" s="1"/>
  <c r="CA26" i="11"/>
  <c r="T49" i="2"/>
  <c r="Y49" s="1"/>
  <c r="Z49" s="1"/>
  <c r="CA44" i="11"/>
  <c r="T30" i="2"/>
  <c r="Y30" s="1"/>
  <c r="Z30" s="1"/>
  <c r="CA25" i="11"/>
  <c r="T20" i="2"/>
  <c r="Y20" s="1"/>
  <c r="Z20" s="1"/>
  <c r="CA15" i="11"/>
  <c r="T34" i="2"/>
  <c r="Y34" s="1"/>
  <c r="CA29" i="11"/>
  <c r="G39" i="2"/>
  <c r="H39" s="1"/>
  <c r="G45"/>
  <c r="H45" s="1"/>
  <c r="T71"/>
  <c r="Y71" s="1"/>
  <c r="Z71" s="1"/>
  <c r="T38"/>
  <c r="Y38" s="1"/>
  <c r="Z38" s="1"/>
  <c r="T36"/>
  <c r="Y36" s="1"/>
  <c r="CA31" i="11"/>
  <c r="T28" i="2"/>
  <c r="Y28" s="1"/>
  <c r="Z28" s="1"/>
  <c r="CA23" i="11"/>
  <c r="T21" i="2"/>
  <c r="Y21" s="1"/>
  <c r="CA16" i="11"/>
  <c r="T23" i="2"/>
  <c r="Y23" s="1"/>
  <c r="Z23" s="1"/>
  <c r="CA18" i="11"/>
  <c r="T72" i="2"/>
  <c r="Y72" s="1"/>
  <c r="T40"/>
  <c r="Y40" s="1"/>
  <c r="CA35" i="11"/>
  <c r="G72" i="2"/>
  <c r="AJ57"/>
  <c r="G17"/>
  <c r="T44"/>
  <c r="U43"/>
  <c r="W43" s="1"/>
  <c r="AJ19"/>
  <c r="G19"/>
  <c r="AJ40"/>
  <c r="G40"/>
  <c r="AJ36"/>
  <c r="G36"/>
  <c r="AJ69"/>
  <c r="G69"/>
  <c r="AJ43"/>
  <c r="G43"/>
  <c r="AJ54"/>
  <c r="G54"/>
  <c r="AJ70"/>
  <c r="G70"/>
  <c r="AJ46"/>
  <c r="G46"/>
  <c r="AJ32"/>
  <c r="G32"/>
  <c r="AJ21"/>
  <c r="G21"/>
  <c r="AJ58"/>
  <c r="G58"/>
  <c r="G18"/>
  <c r="AJ56"/>
  <c r="G56"/>
  <c r="AJ59"/>
  <c r="T24"/>
  <c r="G26"/>
  <c r="G28"/>
  <c r="AJ38"/>
  <c r="G38"/>
  <c r="AJ52"/>
  <c r="G52"/>
  <c r="AJ33"/>
  <c r="G33"/>
  <c r="AJ50"/>
  <c r="G50"/>
  <c r="AJ47"/>
  <c r="G47"/>
  <c r="AJ44"/>
  <c r="G44"/>
  <c r="AJ51"/>
  <c r="G51"/>
  <c r="AJ62"/>
  <c r="G62"/>
  <c r="AJ55"/>
  <c r="G55"/>
  <c r="AJ34"/>
  <c r="G34"/>
  <c r="AJ71"/>
  <c r="G71"/>
  <c r="G23"/>
  <c r="G24"/>
  <c r="T32"/>
  <c r="CX39" i="11"/>
  <c r="CX40"/>
  <c r="CX42"/>
  <c r="CX41"/>
  <c r="CX38"/>
  <c r="F75" i="2"/>
  <c r="AJ75" s="1"/>
  <c r="CX19" i="11"/>
  <c r="CX33"/>
  <c r="CX67"/>
  <c r="CX56"/>
  <c r="CX58"/>
  <c r="CX32"/>
  <c r="CX45"/>
  <c r="CX44"/>
  <c r="CX15"/>
  <c r="CX57"/>
  <c r="CX53"/>
  <c r="CX23"/>
  <c r="CX30"/>
  <c r="CX26"/>
  <c r="CX17"/>
  <c r="CX48"/>
  <c r="CX29"/>
  <c r="CX52"/>
  <c r="CX25"/>
  <c r="CX13"/>
  <c r="CX65"/>
  <c r="CX51"/>
  <c r="CX12"/>
  <c r="CX14"/>
  <c r="CX49"/>
  <c r="CX50"/>
  <c r="CX47"/>
  <c r="CX54"/>
  <c r="CX46"/>
  <c r="CX34"/>
  <c r="CT67"/>
  <c r="BS67"/>
  <c r="CX35"/>
  <c r="CX31"/>
  <c r="CX27"/>
  <c r="CX64"/>
  <c r="CX16"/>
  <c r="CX28"/>
  <c r="CX66"/>
  <c r="CX18"/>
  <c r="CX21"/>
  <c r="CX70"/>
  <c r="F12" i="2"/>
  <c r="AJ12" s="1"/>
  <c r="M75"/>
  <c r="CB70" i="11" s="1"/>
  <c r="AI75" i="2"/>
  <c r="M12"/>
  <c r="CB7" i="11" s="1"/>
  <c r="AI12" i="2"/>
  <c r="M13"/>
  <c r="CB8" i="11" s="1"/>
  <c r="AI13" i="2"/>
  <c r="R2"/>
  <c r="BK66" i="11"/>
  <c r="G49" i="23" l="1"/>
  <c r="G35"/>
  <c r="J35" s="1"/>
  <c r="G20"/>
  <c r="H20" s="1"/>
  <c r="CZ15" i="11" s="1"/>
  <c r="G72" i="23"/>
  <c r="I72" s="1"/>
  <c r="G38"/>
  <c r="J38" s="1"/>
  <c r="G18"/>
  <c r="H18" s="1"/>
  <c r="CZ13" i="11" s="1"/>
  <c r="H60" i="2"/>
  <c r="BY55" i="11" s="1"/>
  <c r="G31" i="23"/>
  <c r="H31" s="1"/>
  <c r="G17"/>
  <c r="H17" s="1"/>
  <c r="CZ12" i="11" s="1"/>
  <c r="J74" i="23"/>
  <c r="G24"/>
  <c r="I24" s="1"/>
  <c r="G40"/>
  <c r="I40" s="1"/>
  <c r="AJ61" i="2"/>
  <c r="U34"/>
  <c r="W34" s="1"/>
  <c r="U30"/>
  <c r="W30" s="1"/>
  <c r="G46" i="23"/>
  <c r="I46" s="1"/>
  <c r="G68" i="2"/>
  <c r="I68" s="1"/>
  <c r="G44" i="23"/>
  <c r="H44" s="1"/>
  <c r="CZ39" i="11" s="1"/>
  <c r="G45" i="23"/>
  <c r="I45" s="1"/>
  <c r="G33"/>
  <c r="J33" s="1"/>
  <c r="G36"/>
  <c r="I36" s="1"/>
  <c r="U21"/>
  <c r="W21" s="1"/>
  <c r="G37"/>
  <c r="J37" s="1"/>
  <c r="G28"/>
  <c r="I28" s="1"/>
  <c r="G22"/>
  <c r="J22" s="1"/>
  <c r="G21"/>
  <c r="H21" s="1"/>
  <c r="CZ16" i="11" s="1"/>
  <c r="T72" i="23"/>
  <c r="Y72" s="1"/>
  <c r="Z72" s="1"/>
  <c r="X60"/>
  <c r="O60" s="1"/>
  <c r="AA60" s="1"/>
  <c r="AB60" s="1"/>
  <c r="N60" s="1"/>
  <c r="I29"/>
  <c r="H29"/>
  <c r="CZ24" i="11" s="1"/>
  <c r="I74" i="23"/>
  <c r="H12"/>
  <c r="CZ7" i="11" s="1"/>
  <c r="T19" i="23"/>
  <c r="Y19" s="1"/>
  <c r="Z19" s="1"/>
  <c r="G26"/>
  <c r="J26" s="1"/>
  <c r="U18"/>
  <c r="W18" s="1"/>
  <c r="T22"/>
  <c r="Y22" s="1"/>
  <c r="Z22" s="1"/>
  <c r="U24"/>
  <c r="W24" s="1"/>
  <c r="J72"/>
  <c r="I17"/>
  <c r="G63" i="2"/>
  <c r="H63" s="1"/>
  <c r="U26"/>
  <c r="W26" s="1"/>
  <c r="T35"/>
  <c r="Y35" s="1"/>
  <c r="H65" i="23"/>
  <c r="CZ60" i="11" s="1"/>
  <c r="T65" i="23"/>
  <c r="Y65" s="1"/>
  <c r="Z65" s="1"/>
  <c r="U72"/>
  <c r="W72" s="1"/>
  <c r="H72"/>
  <c r="CZ67" i="11" s="1"/>
  <c r="I31" i="23"/>
  <c r="J31"/>
  <c r="U25"/>
  <c r="W25" s="1"/>
  <c r="G22" i="2"/>
  <c r="J22" s="1"/>
  <c r="X22" s="1"/>
  <c r="O22" s="1"/>
  <c r="G35"/>
  <c r="AJ37"/>
  <c r="J34" i="23"/>
  <c r="T17"/>
  <c r="Y17" s="1"/>
  <c r="Z17" s="1"/>
  <c r="AC60"/>
  <c r="AJ31" i="2"/>
  <c r="G25"/>
  <c r="J25" s="1"/>
  <c r="G20"/>
  <c r="J20" s="1"/>
  <c r="T33"/>
  <c r="Y33" s="1"/>
  <c r="G49"/>
  <c r="I49" s="1"/>
  <c r="AJ30"/>
  <c r="AJ53"/>
  <c r="G71" i="23"/>
  <c r="J71" s="1"/>
  <c r="H36"/>
  <c r="CZ31" i="11" s="1"/>
  <c r="U44" i="23"/>
  <c r="W44" s="1"/>
  <c r="G32"/>
  <c r="T45"/>
  <c r="Y45" s="1"/>
  <c r="Z45" s="1"/>
  <c r="T43"/>
  <c r="Y43" s="1"/>
  <c r="Z43" s="1"/>
  <c r="J25"/>
  <c r="U37"/>
  <c r="W37" s="1"/>
  <c r="U46"/>
  <c r="W46" s="1"/>
  <c r="I20"/>
  <c r="T36"/>
  <c r="Y36" s="1"/>
  <c r="Z36" s="1"/>
  <c r="H22"/>
  <c r="CZ17" i="11" s="1"/>
  <c r="I21" i="23"/>
  <c r="G19"/>
  <c r="I19" s="1"/>
  <c r="I25"/>
  <c r="G39"/>
  <c r="J39" s="1"/>
  <c r="J16"/>
  <c r="U33"/>
  <c r="W33" s="1"/>
  <c r="U19"/>
  <c r="W19" s="1"/>
  <c r="T46"/>
  <c r="Y46" s="1"/>
  <c r="Z46" s="1"/>
  <c r="J20"/>
  <c r="T28"/>
  <c r="Y28" s="1"/>
  <c r="Z28" s="1"/>
  <c r="U38"/>
  <c r="W38" s="1"/>
  <c r="X38" s="1"/>
  <c r="O38" s="1"/>
  <c r="T21"/>
  <c r="Y21" s="1"/>
  <c r="Z21" s="1"/>
  <c r="U47"/>
  <c r="W47" s="1"/>
  <c r="U39"/>
  <c r="W39" s="1"/>
  <c r="J60" i="2"/>
  <c r="T30" i="23"/>
  <c r="Y30" s="1"/>
  <c r="Z30" s="1"/>
  <c r="U71"/>
  <c r="W71" s="1"/>
  <c r="U35"/>
  <c r="W35" s="1"/>
  <c r="U65"/>
  <c r="W65" s="1"/>
  <c r="J65"/>
  <c r="J23"/>
  <c r="U31"/>
  <c r="W31" s="1"/>
  <c r="U36"/>
  <c r="W36" s="1"/>
  <c r="U40"/>
  <c r="W40" s="1"/>
  <c r="U17"/>
  <c r="W17" s="1"/>
  <c r="J28"/>
  <c r="G43"/>
  <c r="I43" s="1"/>
  <c r="U74"/>
  <c r="W74" s="1"/>
  <c r="X74" s="1"/>
  <c r="O74" s="1"/>
  <c r="AA74" s="1"/>
  <c r="AB74" s="1"/>
  <c r="N74" s="1"/>
  <c r="U43"/>
  <c r="W43" s="1"/>
  <c r="T25"/>
  <c r="Y25" s="1"/>
  <c r="T47"/>
  <c r="Y47" s="1"/>
  <c r="Z47" s="1"/>
  <c r="T16"/>
  <c r="Y16" s="1"/>
  <c r="Z16" s="1"/>
  <c r="T33"/>
  <c r="Y33" s="1"/>
  <c r="Z33" s="1"/>
  <c r="J30"/>
  <c r="T20"/>
  <c r="Y20" s="1"/>
  <c r="Z20" s="1"/>
  <c r="J36"/>
  <c r="AC36" s="1"/>
  <c r="T40"/>
  <c r="Y40" s="1"/>
  <c r="Z40" s="1"/>
  <c r="T38"/>
  <c r="Y38" s="1"/>
  <c r="Z38" s="1"/>
  <c r="T24"/>
  <c r="Y24" s="1"/>
  <c r="CZ18" i="11"/>
  <c r="CZ26"/>
  <c r="CZ20"/>
  <c r="B71" i="2"/>
  <c r="AF71" s="1"/>
  <c r="B71" i="23"/>
  <c r="AF71" s="1"/>
  <c r="H34"/>
  <c r="U30"/>
  <c r="W30" s="1"/>
  <c r="T74"/>
  <c r="U34"/>
  <c r="W34" s="1"/>
  <c r="H30"/>
  <c r="CZ25" i="11" s="1"/>
  <c r="T35" i="23"/>
  <c r="U49"/>
  <c r="W49" s="1"/>
  <c r="T49"/>
  <c r="J49"/>
  <c r="U20"/>
  <c r="W20" s="1"/>
  <c r="T23"/>
  <c r="T31"/>
  <c r="J12"/>
  <c r="T18"/>
  <c r="J17"/>
  <c r="I38"/>
  <c r="T37"/>
  <c r="Y37" s="1"/>
  <c r="Y69"/>
  <c r="T68"/>
  <c r="U68"/>
  <c r="W68" s="1"/>
  <c r="X68" s="1"/>
  <c r="O68" s="1"/>
  <c r="S68" s="1"/>
  <c r="DD63" i="11" s="1"/>
  <c r="S79" i="23"/>
  <c r="Q79"/>
  <c r="P79"/>
  <c r="P6" s="1"/>
  <c r="O6"/>
  <c r="AA6" s="1"/>
  <c r="AB6" s="1"/>
  <c r="G13"/>
  <c r="U26"/>
  <c r="W26" s="1"/>
  <c r="X26" s="1"/>
  <c r="O26" s="1"/>
  <c r="S26" s="1"/>
  <c r="DD21" i="11" s="1"/>
  <c r="H75" i="23"/>
  <c r="J75"/>
  <c r="X75" s="1"/>
  <c r="O75" s="1"/>
  <c r="I75"/>
  <c r="AJ53"/>
  <c r="G53"/>
  <c r="AJ76"/>
  <c r="G76"/>
  <c r="AJ70"/>
  <c r="G70"/>
  <c r="AJ51"/>
  <c r="G51"/>
  <c r="X78"/>
  <c r="O78" s="1"/>
  <c r="AA78" s="1"/>
  <c r="AB78" s="1"/>
  <c r="N78" s="1"/>
  <c r="T39"/>
  <c r="Y58"/>
  <c r="Z58" s="1"/>
  <c r="Z62"/>
  <c r="Y53"/>
  <c r="CZ73" i="11"/>
  <c r="AJ56" i="23"/>
  <c r="G56"/>
  <c r="AJ69"/>
  <c r="G69"/>
  <c r="G47"/>
  <c r="H64"/>
  <c r="J64"/>
  <c r="AC64" s="1"/>
  <c r="I64"/>
  <c r="AJ57"/>
  <c r="G57"/>
  <c r="P29"/>
  <c r="T34"/>
  <c r="T71"/>
  <c r="Y56"/>
  <c r="Z56" s="1"/>
  <c r="U23"/>
  <c r="W23" s="1"/>
  <c r="I23"/>
  <c r="T12"/>
  <c r="U12"/>
  <c r="W12" s="1"/>
  <c r="J18"/>
  <c r="T44"/>
  <c r="U22"/>
  <c r="W22" s="1"/>
  <c r="X22" s="1"/>
  <c r="O22" s="1"/>
  <c r="I68"/>
  <c r="H68"/>
  <c r="U32"/>
  <c r="W32" s="1"/>
  <c r="T32"/>
  <c r="U45"/>
  <c r="W45" s="1"/>
  <c r="Y67"/>
  <c r="U13"/>
  <c r="W13" s="1"/>
  <c r="T13"/>
  <c r="Y50"/>
  <c r="AJ58"/>
  <c r="G58"/>
  <c r="AJ55"/>
  <c r="G55"/>
  <c r="AJ59"/>
  <c r="G59"/>
  <c r="AJ52"/>
  <c r="G52"/>
  <c r="AJ62"/>
  <c r="G62"/>
  <c r="AJ61"/>
  <c r="G61"/>
  <c r="Y54"/>
  <c r="U16"/>
  <c r="W16" s="1"/>
  <c r="U28"/>
  <c r="W28" s="1"/>
  <c r="H38"/>
  <c r="Z75"/>
  <c r="T26"/>
  <c r="S29"/>
  <c r="DD24" i="11" s="1"/>
  <c r="H67" i="23"/>
  <c r="CZ62" i="11" s="1"/>
  <c r="I67" i="23"/>
  <c r="J67"/>
  <c r="X67" s="1"/>
  <c r="O67" s="1"/>
  <c r="AJ50"/>
  <c r="G50"/>
  <c r="AJ54"/>
  <c r="G54"/>
  <c r="H16"/>
  <c r="AA79"/>
  <c r="AB79" s="1"/>
  <c r="N79" s="1"/>
  <c r="N6" s="1"/>
  <c r="AJ63"/>
  <c r="G63"/>
  <c r="J45" i="2"/>
  <c r="AC45" s="1"/>
  <c r="U58"/>
  <c r="W58" s="1"/>
  <c r="CB53" i="11"/>
  <c r="U52" i="2"/>
  <c r="W52" s="1"/>
  <c r="CB47" i="11"/>
  <c r="U55" i="2"/>
  <c r="W55" s="1"/>
  <c r="CB50" i="11"/>
  <c r="U51" i="2"/>
  <c r="W51" s="1"/>
  <c r="CB46" i="11"/>
  <c r="U56" i="2"/>
  <c r="W56" s="1"/>
  <c r="CB51" i="11"/>
  <c r="U70" i="2"/>
  <c r="W70" s="1"/>
  <c r="CB65" i="11"/>
  <c r="U63" i="2"/>
  <c r="W63" s="1"/>
  <c r="CB58" i="11"/>
  <c r="U54" i="2"/>
  <c r="W54" s="1"/>
  <c r="CB49" i="11"/>
  <c r="U57" i="2"/>
  <c r="W57" s="1"/>
  <c r="CB52" i="11"/>
  <c r="U53" i="2"/>
  <c r="W53" s="1"/>
  <c r="CB48" i="11"/>
  <c r="U16" i="2"/>
  <c r="W16" s="1"/>
  <c r="X16" s="1"/>
  <c r="O16" s="1"/>
  <c r="S16" s="1"/>
  <c r="CC11" i="11" s="1"/>
  <c r="CB11"/>
  <c r="U29" i="2"/>
  <c r="W29" s="1"/>
  <c r="CB24" i="11"/>
  <c r="U60" i="2"/>
  <c r="W60" s="1"/>
  <c r="X60" s="1"/>
  <c r="O60" s="1"/>
  <c r="AA60" s="1"/>
  <c r="AB60" s="1"/>
  <c r="N60" s="1"/>
  <c r="CB55" i="11"/>
  <c r="U67" i="2"/>
  <c r="W67" s="1"/>
  <c r="CB62" i="11"/>
  <c r="U64" i="2"/>
  <c r="W64" s="1"/>
  <c r="CB59" i="11"/>
  <c r="U62" i="2"/>
  <c r="W62" s="1"/>
  <c r="CB57" i="11"/>
  <c r="U61" i="2"/>
  <c r="W61" s="1"/>
  <c r="CB56" i="11"/>
  <c r="U69" i="2"/>
  <c r="W69" s="1"/>
  <c r="CB64" i="11"/>
  <c r="U59" i="2"/>
  <c r="W59" s="1"/>
  <c r="CB54" i="11"/>
  <c r="U50" i="2"/>
  <c r="W50" s="1"/>
  <c r="CB45" i="11"/>
  <c r="I45" i="2"/>
  <c r="H65"/>
  <c r="BY60" i="11" s="1"/>
  <c r="H16" i="2"/>
  <c r="BY11" i="11" s="1"/>
  <c r="I65" i="2"/>
  <c r="G67"/>
  <c r="I67" s="1"/>
  <c r="H68"/>
  <c r="BY63" i="11" s="1"/>
  <c r="CA60"/>
  <c r="T65" i="2"/>
  <c r="CA20" i="11"/>
  <c r="T25" i="2"/>
  <c r="CA53" i="11"/>
  <c r="T58" i="2"/>
  <c r="Y58" s="1"/>
  <c r="Z58" s="1"/>
  <c r="I16"/>
  <c r="CA63" i="11"/>
  <c r="T68" i="2"/>
  <c r="CA46" i="11"/>
  <c r="T51" i="2"/>
  <c r="Y51" s="1"/>
  <c r="Z51" s="1"/>
  <c r="I29"/>
  <c r="CA55" i="11"/>
  <c r="T60" i="2"/>
  <c r="Y60" s="1"/>
  <c r="Z60" s="1"/>
  <c r="CA51" i="11"/>
  <c r="T56" i="2"/>
  <c r="Y56" s="1"/>
  <c r="Z56" s="1"/>
  <c r="CA59" i="11"/>
  <c r="T64" i="2"/>
  <c r="G64"/>
  <c r="CA64" i="11"/>
  <c r="T69" i="2"/>
  <c r="Y69" s="1"/>
  <c r="Z69" s="1"/>
  <c r="CA58" i="11"/>
  <c r="T63" i="2"/>
  <c r="Y63" s="1"/>
  <c r="Z63" s="1"/>
  <c r="CA49" i="11"/>
  <c r="T54" i="2"/>
  <c r="Y54" s="1"/>
  <c r="Z54" s="1"/>
  <c r="BY24" i="11"/>
  <c r="CA47"/>
  <c r="T52" i="2"/>
  <c r="Y52" s="1"/>
  <c r="Z52" s="1"/>
  <c r="CA48" i="11"/>
  <c r="T53" i="2"/>
  <c r="Y53" s="1"/>
  <c r="Z53" s="1"/>
  <c r="CA11" i="11"/>
  <c r="T16" i="2"/>
  <c r="J68"/>
  <c r="CA50" i="11"/>
  <c r="T55" i="2"/>
  <c r="Y55" s="1"/>
  <c r="Z55" s="1"/>
  <c r="CA24" i="11"/>
  <c r="T29" i="2"/>
  <c r="J29"/>
  <c r="CA65" i="11"/>
  <c r="T70" i="2"/>
  <c r="Y70" s="1"/>
  <c r="Z70" s="1"/>
  <c r="CA62" i="11"/>
  <c r="T67" i="2"/>
  <c r="U65"/>
  <c r="W65" s="1"/>
  <c r="X65" s="1"/>
  <c r="O65" s="1"/>
  <c r="CA57" i="11"/>
  <c r="T62" i="2"/>
  <c r="Y62" s="1"/>
  <c r="Z62" s="1"/>
  <c r="U25"/>
  <c r="W25" s="1"/>
  <c r="X25" s="1"/>
  <c r="O25" s="1"/>
  <c r="CA56" i="11"/>
  <c r="T61" i="2"/>
  <c r="Y61" s="1"/>
  <c r="Z61" s="1"/>
  <c r="CA52" i="11"/>
  <c r="T57" i="2"/>
  <c r="Y57" s="1"/>
  <c r="Z57" s="1"/>
  <c r="CA54" i="11"/>
  <c r="T59" i="2"/>
  <c r="Y59" s="1"/>
  <c r="Z59" s="1"/>
  <c r="U68"/>
  <c r="W68" s="1"/>
  <c r="CA45" i="11"/>
  <c r="T50" i="2"/>
  <c r="Y50" s="1"/>
  <c r="Z50" s="1"/>
  <c r="BY34" i="11"/>
  <c r="J39" i="2"/>
  <c r="I39"/>
  <c r="Y32"/>
  <c r="H24"/>
  <c r="BY19" i="11" s="1"/>
  <c r="J24" i="2"/>
  <c r="I24"/>
  <c r="Z34"/>
  <c r="H20"/>
  <c r="BY15" i="11" s="1"/>
  <c r="J23" i="2"/>
  <c r="I23"/>
  <c r="H23"/>
  <c r="BY18" i="11" s="1"/>
  <c r="J34" i="2"/>
  <c r="X34" s="1"/>
  <c r="O34" s="1"/>
  <c r="H34"/>
  <c r="I34"/>
  <c r="J62"/>
  <c r="H62"/>
  <c r="BY57" i="11" s="1"/>
  <c r="I62" i="2"/>
  <c r="H44"/>
  <c r="BY39" i="11" s="1"/>
  <c r="J44" i="2"/>
  <c r="I44"/>
  <c r="H50"/>
  <c r="BY45" i="11" s="1"/>
  <c r="I50" i="2"/>
  <c r="J50"/>
  <c r="H52"/>
  <c r="BY47" i="11" s="1"/>
  <c r="I52" i="2"/>
  <c r="J52"/>
  <c r="J38"/>
  <c r="H38"/>
  <c r="BY33" i="11" s="1"/>
  <c r="I38" i="2"/>
  <c r="Z37"/>
  <c r="Y24"/>
  <c r="Z24" s="1"/>
  <c r="Z72"/>
  <c r="Z26"/>
  <c r="Z21"/>
  <c r="Y44"/>
  <c r="Z44" s="1"/>
  <c r="I56"/>
  <c r="J56"/>
  <c r="H56"/>
  <c r="I58"/>
  <c r="J58"/>
  <c r="H58"/>
  <c r="BY53" i="11" s="1"/>
  <c r="H32" i="2"/>
  <c r="J32"/>
  <c r="X32" s="1"/>
  <c r="O32" s="1"/>
  <c r="S32" s="1"/>
  <c r="CC27" i="11" s="1"/>
  <c r="I32" i="2"/>
  <c r="H46"/>
  <c r="J46"/>
  <c r="I46"/>
  <c r="I70"/>
  <c r="H70"/>
  <c r="BY65" i="11" s="1"/>
  <c r="J70" i="2"/>
  <c r="H54"/>
  <c r="BY49" i="11" s="1"/>
  <c r="I54" i="2"/>
  <c r="J54"/>
  <c r="H43"/>
  <c r="J43"/>
  <c r="AC43" s="1"/>
  <c r="I43"/>
  <c r="H36"/>
  <c r="I36"/>
  <c r="J36"/>
  <c r="X36" s="1"/>
  <c r="O36" s="1"/>
  <c r="I19"/>
  <c r="H19"/>
  <c r="BY14" i="11" s="1"/>
  <c r="J19" i="2"/>
  <c r="I61"/>
  <c r="J61"/>
  <c r="H61"/>
  <c r="BY56" i="11" s="1"/>
  <c r="J17" i="2"/>
  <c r="X17" s="1"/>
  <c r="O17" s="1"/>
  <c r="H17"/>
  <c r="I17"/>
  <c r="I72"/>
  <c r="H72"/>
  <c r="BY67" i="11" s="1"/>
  <c r="J72" i="2"/>
  <c r="X72" s="1"/>
  <c r="O72" s="1"/>
  <c r="Z17"/>
  <c r="Z35"/>
  <c r="I71"/>
  <c r="H71"/>
  <c r="BY66" i="11" s="1"/>
  <c r="J71" i="2"/>
  <c r="H55"/>
  <c r="BY50" i="11" s="1"/>
  <c r="J55" i="2"/>
  <c r="I55"/>
  <c r="J51"/>
  <c r="I51"/>
  <c r="H51"/>
  <c r="BY46" i="11" s="1"/>
  <c r="I47" i="2"/>
  <c r="H47"/>
  <c r="J47"/>
  <c r="H33"/>
  <c r="J33"/>
  <c r="X33" s="1"/>
  <c r="O33" s="1"/>
  <c r="S33" s="1"/>
  <c r="CC28" i="11" s="1"/>
  <c r="I33" i="2"/>
  <c r="H31"/>
  <c r="BY26" i="11" s="1"/>
  <c r="J31" i="2"/>
  <c r="I31"/>
  <c r="Z40"/>
  <c r="H28"/>
  <c r="BY23" i="11" s="1"/>
  <c r="J28" i="2"/>
  <c r="I28"/>
  <c r="Z36"/>
  <c r="J49"/>
  <c r="J26"/>
  <c r="AC26" s="1"/>
  <c r="H26"/>
  <c r="I26"/>
  <c r="I59"/>
  <c r="H59"/>
  <c r="BY54" i="11" s="1"/>
  <c r="J59" i="2"/>
  <c r="J18"/>
  <c r="H18"/>
  <c r="BY13" i="11" s="1"/>
  <c r="I18" i="2"/>
  <c r="I21"/>
  <c r="H21"/>
  <c r="BY16" i="11" s="1"/>
  <c r="J21" i="2"/>
  <c r="X21" s="1"/>
  <c r="O21" s="1"/>
  <c r="I63"/>
  <c r="J63"/>
  <c r="J35"/>
  <c r="X35" s="1"/>
  <c r="O35" s="1"/>
  <c r="I35"/>
  <c r="H35"/>
  <c r="Z22"/>
  <c r="H30"/>
  <c r="BY25" i="11" s="1"/>
  <c r="J30" i="2"/>
  <c r="I30"/>
  <c r="H53"/>
  <c r="J53"/>
  <c r="I53"/>
  <c r="H69"/>
  <c r="I69"/>
  <c r="J69"/>
  <c r="H40"/>
  <c r="J40"/>
  <c r="X40" s="1"/>
  <c r="O40" s="1"/>
  <c r="I40"/>
  <c r="J37"/>
  <c r="X37" s="1"/>
  <c r="O37" s="1"/>
  <c r="H37"/>
  <c r="I37"/>
  <c r="J57"/>
  <c r="I57"/>
  <c r="H57"/>
  <c r="BY52" i="11" s="1"/>
  <c r="CT66"/>
  <c r="BS66"/>
  <c r="BK65"/>
  <c r="AA29" i="23" l="1"/>
  <c r="AB29" s="1"/>
  <c r="N29" s="1"/>
  <c r="I35"/>
  <c r="J21"/>
  <c r="X21" s="1"/>
  <c r="O21" s="1"/>
  <c r="H26"/>
  <c r="CZ21" i="11" s="1"/>
  <c r="X34" i="23"/>
  <c r="O34" s="1"/>
  <c r="S34" s="1"/>
  <c r="DD29" i="11" s="1"/>
  <c r="I18" i="23"/>
  <c r="H35"/>
  <c r="CZ30" i="11" s="1"/>
  <c r="I26" i="23"/>
  <c r="X35"/>
  <c r="O35" s="1"/>
  <c r="S35" s="1"/>
  <c r="DD30" i="11" s="1"/>
  <c r="I44" i="23"/>
  <c r="J44"/>
  <c r="I49"/>
  <c r="H49"/>
  <c r="CZ44" i="11" s="1"/>
  <c r="I22" i="23"/>
  <c r="X16"/>
  <c r="O16" s="1"/>
  <c r="H25" i="2"/>
  <c r="BY20" i="11" s="1"/>
  <c r="X31" i="23"/>
  <c r="O31" s="1"/>
  <c r="AA31" s="1"/>
  <c r="AB31" s="1"/>
  <c r="N31" s="1"/>
  <c r="AC17"/>
  <c r="AC72"/>
  <c r="X37"/>
  <c r="O37" s="1"/>
  <c r="S37" s="1"/>
  <c r="DD32" i="11" s="1"/>
  <c r="H45" i="23"/>
  <c r="CZ40" i="11" s="1"/>
  <c r="H49" i="2"/>
  <c r="BY44" i="11" s="1"/>
  <c r="X18" i="23"/>
  <c r="O18" s="1"/>
  <c r="J45"/>
  <c r="J24"/>
  <c r="X24" s="1"/>
  <c r="O24" s="1"/>
  <c r="S24" s="1"/>
  <c r="DD19" i="11" s="1"/>
  <c r="H22" i="2"/>
  <c r="BY17" i="11" s="1"/>
  <c r="I22" i="2"/>
  <c r="H37" i="23"/>
  <c r="I37"/>
  <c r="H24"/>
  <c r="CZ19" i="11" s="1"/>
  <c r="J43" i="23"/>
  <c r="AC28"/>
  <c r="X72"/>
  <c r="O72" s="1"/>
  <c r="P72" s="1"/>
  <c r="H43"/>
  <c r="X20"/>
  <c r="O20" s="1"/>
  <c r="AC45"/>
  <c r="AC65"/>
  <c r="S60"/>
  <c r="DD55" i="11" s="1"/>
  <c r="X51" i="2"/>
  <c r="O51" s="1"/>
  <c r="P60" i="23"/>
  <c r="X30"/>
  <c r="O30" s="1"/>
  <c r="H40"/>
  <c r="Q60"/>
  <c r="R60" s="1"/>
  <c r="I20" i="2"/>
  <c r="X28" i="23"/>
  <c r="O28" s="1"/>
  <c r="AA28" s="1"/>
  <c r="AB28" s="1"/>
  <c r="N28" s="1"/>
  <c r="H46"/>
  <c r="CZ41" i="11" s="1"/>
  <c r="J40" i="23"/>
  <c r="H33"/>
  <c r="CZ28" i="11" s="1"/>
  <c r="I33" i="23"/>
  <c r="H28"/>
  <c r="CZ23" i="11" s="1"/>
  <c r="X33" i="23"/>
  <c r="O33" s="1"/>
  <c r="J46"/>
  <c r="X46" s="1"/>
  <c r="O46" s="1"/>
  <c r="S31"/>
  <c r="DD26" i="11" s="1"/>
  <c r="X59" i="2"/>
  <c r="O59" s="1"/>
  <c r="X56"/>
  <c r="O56" s="1"/>
  <c r="X17" i="23"/>
  <c r="O17" s="1"/>
  <c r="AA17" s="1"/>
  <c r="AB17" s="1"/>
  <c r="N17" s="1"/>
  <c r="H39"/>
  <c r="CZ34" i="11" s="1"/>
  <c r="X45" i="2"/>
  <c r="O45" s="1"/>
  <c r="Q29" i="23"/>
  <c r="R29" s="1"/>
  <c r="X63" i="2"/>
  <c r="O63" s="1"/>
  <c r="Q63" s="1"/>
  <c r="R63" s="1"/>
  <c r="CD58" i="11" s="1"/>
  <c r="X55" i="2"/>
  <c r="O55" s="1"/>
  <c r="X70"/>
  <c r="O70" s="1"/>
  <c r="X65" i="23"/>
  <c r="O65" s="1"/>
  <c r="AA65" s="1"/>
  <c r="AB65" s="1"/>
  <c r="N65" s="1"/>
  <c r="X25"/>
  <c r="O25" s="1"/>
  <c r="S25" s="1"/>
  <c r="DD20" i="11" s="1"/>
  <c r="X12" i="23"/>
  <c r="O12" s="1"/>
  <c r="AA12" s="1"/>
  <c r="AB12" s="1"/>
  <c r="N12" s="1"/>
  <c r="X36"/>
  <c r="O36" s="1"/>
  <c r="Q36" s="1"/>
  <c r="R36" s="1"/>
  <c r="X40"/>
  <c r="O40" s="1"/>
  <c r="AC22"/>
  <c r="P22" s="1"/>
  <c r="X69" i="2"/>
  <c r="O69" s="1"/>
  <c r="Q69" s="1"/>
  <c r="R69" s="1"/>
  <c r="CD64" i="11" s="1"/>
  <c r="X53" i="2"/>
  <c r="O53" s="1"/>
  <c r="I25"/>
  <c r="X45" i="23"/>
  <c r="O45" s="1"/>
  <c r="P45" s="1"/>
  <c r="AC40"/>
  <c r="AA35"/>
  <c r="AB35" s="1"/>
  <c r="N35" s="1"/>
  <c r="AC30"/>
  <c r="H19"/>
  <c r="AC33"/>
  <c r="P33" s="1"/>
  <c r="X71"/>
  <c r="O71" s="1"/>
  <c r="S71" s="1"/>
  <c r="DD66" i="11" s="1"/>
  <c r="X54" i="2"/>
  <c r="O54" s="1"/>
  <c r="Q54" s="1"/>
  <c r="R54" s="1"/>
  <c r="CD49" i="11" s="1"/>
  <c r="J19" i="23"/>
  <c r="AC19" s="1"/>
  <c r="X39"/>
  <c r="O39" s="1"/>
  <c r="S39" s="1"/>
  <c r="DD34" i="11" s="1"/>
  <c r="I39" i="23"/>
  <c r="X23"/>
  <c r="O23" s="1"/>
  <c r="AA23" s="1"/>
  <c r="AB23" s="1"/>
  <c r="N23" s="1"/>
  <c r="X44"/>
  <c r="O44" s="1"/>
  <c r="S44" s="1"/>
  <c r="DD39" i="11" s="1"/>
  <c r="I32" i="23"/>
  <c r="H32"/>
  <c r="CZ27" i="11" s="1"/>
  <c r="J32" i="23"/>
  <c r="X32" s="1"/>
  <c r="O32" s="1"/>
  <c r="I71"/>
  <c r="H71"/>
  <c r="CZ66" i="11" s="1"/>
  <c r="X57" i="2"/>
  <c r="O57" s="1"/>
  <c r="AC22"/>
  <c r="P22" s="1"/>
  <c r="X58"/>
  <c r="O58" s="1"/>
  <c r="Q58" s="1"/>
  <c r="R58" s="1"/>
  <c r="CD53" i="11" s="1"/>
  <c r="X64" i="23"/>
  <c r="O64" s="1"/>
  <c r="Q64" s="1"/>
  <c r="R64" s="1"/>
  <c r="AC75"/>
  <c r="P75" s="1"/>
  <c r="S74"/>
  <c r="DD69" i="11" s="1"/>
  <c r="AC16" i="23"/>
  <c r="P16" s="1"/>
  <c r="AC20"/>
  <c r="P20" s="1"/>
  <c r="X49"/>
  <c r="O49" s="1"/>
  <c r="Q49" s="1"/>
  <c r="R49" s="1"/>
  <c r="AC38"/>
  <c r="P38" s="1"/>
  <c r="Z25"/>
  <c r="AC25"/>
  <c r="AC24"/>
  <c r="P24" s="1"/>
  <c r="Z24"/>
  <c r="AA22"/>
  <c r="AB22" s="1"/>
  <c r="N22" s="1"/>
  <c r="S22"/>
  <c r="DD17" i="11" s="1"/>
  <c r="Q22" i="23"/>
  <c r="R22" s="1"/>
  <c r="S18"/>
  <c r="DD13" i="11" s="1"/>
  <c r="AA18" i="23"/>
  <c r="AB18" s="1"/>
  <c r="N18" s="1"/>
  <c r="AA67"/>
  <c r="AB67" s="1"/>
  <c r="N67" s="1"/>
  <c r="S67"/>
  <c r="DD62" i="11" s="1"/>
  <c r="Q67" i="23"/>
  <c r="R67" s="1"/>
  <c r="S21"/>
  <c r="DD16" i="11" s="1"/>
  <c r="AA21" i="23"/>
  <c r="AB21" s="1"/>
  <c r="N21" s="1"/>
  <c r="Q21"/>
  <c r="R21" s="1"/>
  <c r="DE31" i="11"/>
  <c r="AN36" i="23"/>
  <c r="AM36"/>
  <c r="X29" i="2"/>
  <c r="O29" s="1"/>
  <c r="S29" s="1"/>
  <c r="CC24" i="11" s="1"/>
  <c r="I54" i="23"/>
  <c r="J54"/>
  <c r="X54" s="1"/>
  <c r="O54" s="1"/>
  <c r="H54"/>
  <c r="AC43"/>
  <c r="X43"/>
  <c r="O43" s="1"/>
  <c r="AA43" s="1"/>
  <c r="AB43" s="1"/>
  <c r="N43" s="1"/>
  <c r="S16"/>
  <c r="DD11" i="11" s="1"/>
  <c r="Q16" i="23"/>
  <c r="R16" s="1"/>
  <c r="Z50"/>
  <c r="Y32"/>
  <c r="Q38"/>
  <c r="R38" s="1"/>
  <c r="S38"/>
  <c r="DD33" i="11" s="1"/>
  <c r="S12" i="23"/>
  <c r="DD7" i="11" s="1"/>
  <c r="I47" i="23"/>
  <c r="H47"/>
  <c r="J47"/>
  <c r="Y39"/>
  <c r="Q75"/>
  <c r="R75" s="1"/>
  <c r="S75"/>
  <c r="DD70" i="11" s="1"/>
  <c r="H13" i="23"/>
  <c r="I13"/>
  <c r="J13"/>
  <c r="X13" s="1"/>
  <c r="O13" s="1"/>
  <c r="S13" s="1"/>
  <c r="DD8" i="11" s="1"/>
  <c r="S6" i="23"/>
  <c r="DD74" i="11"/>
  <c r="Y68" i="23"/>
  <c r="Q68"/>
  <c r="R68" s="1"/>
  <c r="Y18"/>
  <c r="Q18"/>
  <c r="R18" s="1"/>
  <c r="Y23"/>
  <c r="Y49"/>
  <c r="AA30"/>
  <c r="AB30" s="1"/>
  <c r="N30" s="1"/>
  <c r="Q30"/>
  <c r="R30" s="1"/>
  <c r="S30"/>
  <c r="DD25" i="11" s="1"/>
  <c r="AC21" i="23"/>
  <c r="P21" s="1"/>
  <c r="Y26"/>
  <c r="Q26"/>
  <c r="R26" s="1"/>
  <c r="CZ33" i="11"/>
  <c r="AA38" i="23"/>
  <c r="AB38" s="1"/>
  <c r="N38" s="1"/>
  <c r="Q40"/>
  <c r="R40" s="1"/>
  <c r="S40"/>
  <c r="DD35" i="11" s="1"/>
  <c r="H62" i="23"/>
  <c r="I62"/>
  <c r="J62"/>
  <c r="J59"/>
  <c r="H59"/>
  <c r="I59"/>
  <c r="J58"/>
  <c r="I58"/>
  <c r="H58"/>
  <c r="CZ38" i="11"/>
  <c r="Y44" i="23"/>
  <c r="Y34"/>
  <c r="Q34"/>
  <c r="R34" s="1"/>
  <c r="J57"/>
  <c r="H57"/>
  <c r="I57"/>
  <c r="CZ59" i="11"/>
  <c r="J69" i="23"/>
  <c r="X69" s="1"/>
  <c r="O69" s="1"/>
  <c r="I69"/>
  <c r="H69"/>
  <c r="CZ64" i="11" s="1"/>
  <c r="H70" i="23"/>
  <c r="J70"/>
  <c r="I70"/>
  <c r="J53"/>
  <c r="X53" s="1"/>
  <c r="O53" s="1"/>
  <c r="I53"/>
  <c r="H53"/>
  <c r="CZ48" i="11" s="1"/>
  <c r="CZ70"/>
  <c r="AA75" i="23"/>
  <c r="AB75" s="1"/>
  <c r="N75" s="1"/>
  <c r="CZ35" i="11"/>
  <c r="AA40" i="23"/>
  <c r="AB40" s="1"/>
  <c r="N40" s="1"/>
  <c r="S20"/>
  <c r="DD15" i="11" s="1"/>
  <c r="AA20" i="23"/>
  <c r="AB20" s="1"/>
  <c r="N20" s="1"/>
  <c r="S33"/>
  <c r="DD28" i="11" s="1"/>
  <c r="CZ11"/>
  <c r="AA16" i="23"/>
  <c r="AB16" s="1"/>
  <c r="N16" s="1"/>
  <c r="J50"/>
  <c r="X50" s="1"/>
  <c r="O50" s="1"/>
  <c r="I50"/>
  <c r="H50"/>
  <c r="S28"/>
  <c r="DD23" i="11" s="1"/>
  <c r="Q28" i="23"/>
  <c r="R28" s="1"/>
  <c r="P36"/>
  <c r="AA36"/>
  <c r="AB36" s="1"/>
  <c r="N36" s="1"/>
  <c r="S36"/>
  <c r="DD31" i="11" s="1"/>
  <c r="Z54" i="23"/>
  <c r="AA26"/>
  <c r="AB26" s="1"/>
  <c r="N26" s="1"/>
  <c r="Z67"/>
  <c r="AC67"/>
  <c r="P67" s="1"/>
  <c r="P78"/>
  <c r="S78"/>
  <c r="DD73" i="11" s="1"/>
  <c r="Q78" i="23"/>
  <c r="R78" s="1"/>
  <c r="Z69"/>
  <c r="AA24"/>
  <c r="AB24" s="1"/>
  <c r="N24" s="1"/>
  <c r="Q24"/>
  <c r="R24" s="1"/>
  <c r="Q20"/>
  <c r="R20" s="1"/>
  <c r="Y35"/>
  <c r="Q35"/>
  <c r="R35" s="1"/>
  <c r="Q74"/>
  <c r="R74" s="1"/>
  <c r="Y74"/>
  <c r="CZ29" i="11"/>
  <c r="AA34" i="23"/>
  <c r="AB34" s="1"/>
  <c r="N34" s="1"/>
  <c r="B70" i="2"/>
  <c r="AF70" s="1"/>
  <c r="B70" i="23"/>
  <c r="AF70" s="1"/>
  <c r="J63"/>
  <c r="H63"/>
  <c r="I63"/>
  <c r="I61"/>
  <c r="H61"/>
  <c r="CZ56" i="11" s="1"/>
  <c r="J61" i="23"/>
  <c r="J52"/>
  <c r="I52"/>
  <c r="H52"/>
  <c r="J55"/>
  <c r="H55"/>
  <c r="CZ50" i="11" s="1"/>
  <c r="I55" i="23"/>
  <c r="Y13"/>
  <c r="CZ63" i="11"/>
  <c r="AA68" i="23"/>
  <c r="AB68" s="1"/>
  <c r="N68" s="1"/>
  <c r="CZ32" i="11"/>
  <c r="Q12" i="23"/>
  <c r="R12" s="1"/>
  <c r="Y12"/>
  <c r="Y71"/>
  <c r="I56"/>
  <c r="H56"/>
  <c r="J56"/>
  <c r="Z53"/>
  <c r="I51"/>
  <c r="H51"/>
  <c r="CZ46" i="11" s="1"/>
  <c r="J51" i="23"/>
  <c r="I76"/>
  <c r="J76"/>
  <c r="H76"/>
  <c r="Q6"/>
  <c r="R79"/>
  <c r="Z37"/>
  <c r="AC37"/>
  <c r="Y31"/>
  <c r="Q31"/>
  <c r="R31" s="1"/>
  <c r="AC56" i="2"/>
  <c r="P56" s="1"/>
  <c r="X50"/>
  <c r="O50" s="1"/>
  <c r="S50" s="1"/>
  <c r="CC45" i="11" s="1"/>
  <c r="X62" i="2"/>
  <c r="O62" s="1"/>
  <c r="AA62" s="1"/>
  <c r="AB62" s="1"/>
  <c r="N62" s="1"/>
  <c r="AC60"/>
  <c r="P60" s="1"/>
  <c r="H67"/>
  <c r="BY62" i="11" s="1"/>
  <c r="AC36" i="2"/>
  <c r="P36" s="1"/>
  <c r="AC54"/>
  <c r="P54" s="1"/>
  <c r="X43"/>
  <c r="O43" s="1"/>
  <c r="AA43" s="1"/>
  <c r="AB43" s="1"/>
  <c r="N43" s="1"/>
  <c r="AC55"/>
  <c r="P55" s="1"/>
  <c r="AC17"/>
  <c r="P17" s="1"/>
  <c r="J67"/>
  <c r="X67" s="1"/>
  <c r="O67" s="1"/>
  <c r="S67" s="1"/>
  <c r="CC62" i="11" s="1"/>
  <c r="AC70" i="2"/>
  <c r="P70" s="1"/>
  <c r="AA16"/>
  <c r="AB16" s="1"/>
  <c r="N16" s="1"/>
  <c r="S65"/>
  <c r="CC60" i="11" s="1"/>
  <c r="AA65" i="2"/>
  <c r="AB65" s="1"/>
  <c r="N65" s="1"/>
  <c r="S25"/>
  <c r="CC20" i="11" s="1"/>
  <c r="Y29" i="2"/>
  <c r="Q16"/>
  <c r="R16" s="1"/>
  <c r="Y16"/>
  <c r="H64"/>
  <c r="I64"/>
  <c r="J64"/>
  <c r="X64" s="1"/>
  <c r="O64" s="1"/>
  <c r="S64" s="1"/>
  <c r="CC59" i="11" s="1"/>
  <c r="Y68" i="2"/>
  <c r="Q65"/>
  <c r="R65" s="1"/>
  <c r="Y65"/>
  <c r="Y67"/>
  <c r="Y64"/>
  <c r="Y25"/>
  <c r="AC50"/>
  <c r="X68"/>
  <c r="O68" s="1"/>
  <c r="Q68" s="1"/>
  <c r="R68" s="1"/>
  <c r="AA53"/>
  <c r="AB53" s="1"/>
  <c r="N53" s="1"/>
  <c r="BY48" i="11"/>
  <c r="BY58"/>
  <c r="AA40" i="2"/>
  <c r="AB40" s="1"/>
  <c r="N40" s="1"/>
  <c r="BY35" i="11"/>
  <c r="AA33" i="2"/>
  <c r="AB33" s="1"/>
  <c r="N33" s="1"/>
  <c r="BY28" i="11"/>
  <c r="AC63" i="2"/>
  <c r="AA36"/>
  <c r="AB36" s="1"/>
  <c r="N36" s="1"/>
  <c r="BY31" i="11"/>
  <c r="AA34" i="2"/>
  <c r="AB34" s="1"/>
  <c r="N34" s="1"/>
  <c r="BY29" i="11"/>
  <c r="AC34" i="2"/>
  <c r="P34" s="1"/>
  <c r="AA35"/>
  <c r="AB35" s="1"/>
  <c r="N35" s="1"/>
  <c r="BY30" i="11"/>
  <c r="BY21"/>
  <c r="X26" i="2"/>
  <c r="O26" s="1"/>
  <c r="AA26" s="1"/>
  <c r="AB26" s="1"/>
  <c r="N26" s="1"/>
  <c r="AC39"/>
  <c r="X39"/>
  <c r="O39" s="1"/>
  <c r="AA69"/>
  <c r="AB69" s="1"/>
  <c r="N69" s="1"/>
  <c r="BY64" i="11"/>
  <c r="AA32" i="2"/>
  <c r="AB32" s="1"/>
  <c r="N32" s="1"/>
  <c r="BY27" i="11"/>
  <c r="AA56" i="2"/>
  <c r="AB56" s="1"/>
  <c r="N56" s="1"/>
  <c r="BY51" i="11"/>
  <c r="AA37" i="2"/>
  <c r="AB37" s="1"/>
  <c r="N37" s="1"/>
  <c r="BY32" i="11"/>
  <c r="AA17" i="2"/>
  <c r="AB17" s="1"/>
  <c r="N17" s="1"/>
  <c r="BY12" i="11"/>
  <c r="AA57" i="2"/>
  <c r="AB57" s="1"/>
  <c r="N57" s="1"/>
  <c r="AC30"/>
  <c r="X30"/>
  <c r="O30" s="1"/>
  <c r="S21"/>
  <c r="CC16" i="11" s="1"/>
  <c r="Q21" i="2"/>
  <c r="R21" s="1"/>
  <c r="CD16" i="11" s="1"/>
  <c r="AA51" i="2"/>
  <c r="AB51" s="1"/>
  <c r="N51" s="1"/>
  <c r="S37"/>
  <c r="CC32" i="11" s="1"/>
  <c r="Q37" i="2"/>
  <c r="R37" s="1"/>
  <c r="CD32" i="11" s="1"/>
  <c r="S53" i="2"/>
  <c r="CC48" i="11" s="1"/>
  <c r="Q53" i="2"/>
  <c r="R53" s="1"/>
  <c r="CD48" i="11" s="1"/>
  <c r="AA21" i="2"/>
  <c r="AB21" s="1"/>
  <c r="N21" s="1"/>
  <c r="AC18"/>
  <c r="X18"/>
  <c r="O18" s="1"/>
  <c r="AA18" s="1"/>
  <c r="AB18" s="1"/>
  <c r="N18" s="1"/>
  <c r="AC59"/>
  <c r="P59" s="1"/>
  <c r="AC40"/>
  <c r="P40" s="1"/>
  <c r="AC47"/>
  <c r="X47"/>
  <c r="O47" s="1"/>
  <c r="AA47" s="1"/>
  <c r="AB47" s="1"/>
  <c r="N47" s="1"/>
  <c r="AA55"/>
  <c r="AB55" s="1"/>
  <c r="N55" s="1"/>
  <c r="S36"/>
  <c r="CC31" i="11" s="1"/>
  <c r="Q36" i="2"/>
  <c r="R36" s="1"/>
  <c r="CD31" i="11" s="1"/>
  <c r="S56" i="2"/>
  <c r="CC51" i="11" s="1"/>
  <c r="Q56" i="2"/>
  <c r="R56" s="1"/>
  <c r="CD51" i="11" s="1"/>
  <c r="Q33" i="2"/>
  <c r="R33" s="1"/>
  <c r="CD28" i="11" s="1"/>
  <c r="AC69" i="2"/>
  <c r="AC53"/>
  <c r="AC37"/>
  <c r="P37" s="1"/>
  <c r="AC52"/>
  <c r="X52"/>
  <c r="O52" s="1"/>
  <c r="AA52" s="1"/>
  <c r="AB52" s="1"/>
  <c r="N52" s="1"/>
  <c r="AC24"/>
  <c r="X24"/>
  <c r="O24" s="1"/>
  <c r="AA24" s="1"/>
  <c r="AB24" s="1"/>
  <c r="N24" s="1"/>
  <c r="Q32"/>
  <c r="R32" s="1"/>
  <c r="CD27" i="11" s="1"/>
  <c r="S59" i="2"/>
  <c r="CC54" i="11" s="1"/>
  <c r="Q59" i="2"/>
  <c r="R59" s="1"/>
  <c r="CD54" i="11" s="1"/>
  <c r="S51" i="2"/>
  <c r="CC46" i="11" s="1"/>
  <c r="Q51" i="2"/>
  <c r="R51" s="1"/>
  <c r="CD46" i="11" s="1"/>
  <c r="X71" i="2"/>
  <c r="O71" s="1"/>
  <c r="AA71" s="1"/>
  <c r="AB71" s="1"/>
  <c r="N71" s="1"/>
  <c r="AC71"/>
  <c r="AC35"/>
  <c r="P35" s="1"/>
  <c r="Q72"/>
  <c r="R72" s="1"/>
  <c r="CD67" i="11" s="1"/>
  <c r="S72" i="2"/>
  <c r="CC67" i="11" s="1"/>
  <c r="AC19" i="2"/>
  <c r="X19"/>
  <c r="O19" s="1"/>
  <c r="AA19" s="1"/>
  <c r="AB19" s="1"/>
  <c r="N19" s="1"/>
  <c r="S70"/>
  <c r="CC65" i="11" s="1"/>
  <c r="Q70" i="2"/>
  <c r="R70" s="1"/>
  <c r="CD65" i="11" s="1"/>
  <c r="AC51" i="2"/>
  <c r="P51" s="1"/>
  <c r="AC46"/>
  <c r="X46"/>
  <c r="O46" s="1"/>
  <c r="AA46" s="1"/>
  <c r="AB46" s="1"/>
  <c r="N46" s="1"/>
  <c r="AC33"/>
  <c r="P33" s="1"/>
  <c r="Z33"/>
  <c r="P45"/>
  <c r="S45"/>
  <c r="CC40" i="11" s="1"/>
  <c r="AA45" i="2"/>
  <c r="AB45" s="1"/>
  <c r="N45" s="1"/>
  <c r="Q45"/>
  <c r="R45" s="1"/>
  <c r="AC57"/>
  <c r="P57" s="1"/>
  <c r="S22"/>
  <c r="CC17" i="11" s="1"/>
  <c r="Q22" i="2"/>
  <c r="R22" s="1"/>
  <c r="CD17" i="11" s="1"/>
  <c r="AC23" i="2"/>
  <c r="X23"/>
  <c r="O23" s="1"/>
  <c r="AA23" s="1"/>
  <c r="AB23" s="1"/>
  <c r="N23" s="1"/>
  <c r="AC58"/>
  <c r="Z32"/>
  <c r="AC32"/>
  <c r="P32" s="1"/>
  <c r="S57"/>
  <c r="CC52" i="11" s="1"/>
  <c r="Q57" i="2"/>
  <c r="R57" s="1"/>
  <c r="CD52" i="11" s="1"/>
  <c r="Q40" i="2"/>
  <c r="R40" s="1"/>
  <c r="CD35" i="11" s="1"/>
  <c r="S40" i="2"/>
  <c r="CC35" i="11" s="1"/>
  <c r="AA59" i="2"/>
  <c r="AB59" s="1"/>
  <c r="N59" s="1"/>
  <c r="X49"/>
  <c r="O49" s="1"/>
  <c r="AA49" s="1"/>
  <c r="AB49" s="1"/>
  <c r="N49" s="1"/>
  <c r="AC49"/>
  <c r="AC28"/>
  <c r="X28"/>
  <c r="O28" s="1"/>
  <c r="AA28" s="1"/>
  <c r="AB28" s="1"/>
  <c r="N28" s="1"/>
  <c r="AA72"/>
  <c r="AB72" s="1"/>
  <c r="N72" s="1"/>
  <c r="S17"/>
  <c r="CC12" i="11" s="1"/>
  <c r="Q17" i="2"/>
  <c r="R17" s="1"/>
  <c r="CD12" i="11" s="1"/>
  <c r="AA70" i="2"/>
  <c r="AB70" s="1"/>
  <c r="N70" s="1"/>
  <c r="AC21"/>
  <c r="P21" s="1"/>
  <c r="AC72"/>
  <c r="P72" s="1"/>
  <c r="AA22"/>
  <c r="AB22" s="1"/>
  <c r="N22" s="1"/>
  <c r="S34"/>
  <c r="CC29" i="11" s="1"/>
  <c r="Q34" i="2"/>
  <c r="R34" s="1"/>
  <c r="CD29" i="11" s="1"/>
  <c r="AC62" i="2"/>
  <c r="S35"/>
  <c r="CC30" i="11" s="1"/>
  <c r="Q35" i="2"/>
  <c r="R35" s="1"/>
  <c r="CD30" i="11" s="1"/>
  <c r="AC31" i="2"/>
  <c r="X31"/>
  <c r="O31" s="1"/>
  <c r="AA31" s="1"/>
  <c r="AB31" s="1"/>
  <c r="N31" s="1"/>
  <c r="S55"/>
  <c r="CC50" i="11" s="1"/>
  <c r="Q55" i="2"/>
  <c r="R55" s="1"/>
  <c r="CD50" i="11" s="1"/>
  <c r="AC61" i="2"/>
  <c r="X61"/>
  <c r="O61" s="1"/>
  <c r="X38"/>
  <c r="O38" s="1"/>
  <c r="AA38" s="1"/>
  <c r="AB38" s="1"/>
  <c r="N38" s="1"/>
  <c r="AC38"/>
  <c r="AC44"/>
  <c r="X44"/>
  <c r="O44" s="1"/>
  <c r="X20"/>
  <c r="O20" s="1"/>
  <c r="AC20"/>
  <c r="S60"/>
  <c r="CC55" i="11" s="1"/>
  <c r="Q60" i="2"/>
  <c r="R60" s="1"/>
  <c r="CD55" i="11" s="1"/>
  <c r="CT65"/>
  <c r="BS65"/>
  <c r="BK64"/>
  <c r="BY38"/>
  <c r="P28" i="23" l="1"/>
  <c r="AA25" i="2"/>
  <c r="AB25" s="1"/>
  <c r="N25" s="1"/>
  <c r="S23" i="23"/>
  <c r="DD18" i="11" s="1"/>
  <c r="X19" i="23"/>
  <c r="O19" s="1"/>
  <c r="S19" s="1"/>
  <c r="DD14" i="11" s="1"/>
  <c r="P30" i="23"/>
  <c r="AA37"/>
  <c r="AB37" s="1"/>
  <c r="N37" s="1"/>
  <c r="AA45"/>
  <c r="AB45" s="1"/>
  <c r="N45" s="1"/>
  <c r="AA25"/>
  <c r="AB25" s="1"/>
  <c r="N25" s="1"/>
  <c r="P17"/>
  <c r="AA63" i="2"/>
  <c r="AB63" s="1"/>
  <c r="N63" s="1"/>
  <c r="Q37" i="23"/>
  <c r="R37" s="1"/>
  <c r="AN37" s="1"/>
  <c r="S45"/>
  <c r="DD40" i="11" s="1"/>
  <c r="S17" i="23"/>
  <c r="DD12" i="11" s="1"/>
  <c r="AA33" i="23"/>
  <c r="AB33" s="1"/>
  <c r="N33" s="1"/>
  <c r="Q17"/>
  <c r="R17" s="1"/>
  <c r="AN17" s="1"/>
  <c r="S63" i="2"/>
  <c r="CC58" i="11" s="1"/>
  <c r="P63" i="2"/>
  <c r="Q25"/>
  <c r="R25" s="1"/>
  <c r="AN25" s="1"/>
  <c r="P37" i="23"/>
  <c r="Q33"/>
  <c r="R33" s="1"/>
  <c r="P25"/>
  <c r="AC46"/>
  <c r="P46" s="1"/>
  <c r="AA64"/>
  <c r="AB64" s="1"/>
  <c r="N64" s="1"/>
  <c r="Q45"/>
  <c r="R45" s="1"/>
  <c r="Q62" i="2"/>
  <c r="R62" s="1"/>
  <c r="CD57" i="11" s="1"/>
  <c r="Q39" i="23"/>
  <c r="R39" s="1"/>
  <c r="DE34" i="11" s="1"/>
  <c r="AC53" i="23"/>
  <c r="P53" s="1"/>
  <c r="AA50" i="2"/>
  <c r="AB50" s="1"/>
  <c r="N50" s="1"/>
  <c r="AA29"/>
  <c r="AB29" s="1"/>
  <c r="N29" s="1"/>
  <c r="Q23" i="23"/>
  <c r="R23" s="1"/>
  <c r="AM23" s="1"/>
  <c r="S65"/>
  <c r="DD60" i="11" s="1"/>
  <c r="P19" i="23"/>
  <c r="Q72"/>
  <c r="R72" s="1"/>
  <c r="S72"/>
  <c r="DD67" i="11" s="1"/>
  <c r="AA72" i="23"/>
  <c r="AB72" s="1"/>
  <c r="N72" s="1"/>
  <c r="Q25"/>
  <c r="R25" s="1"/>
  <c r="P40"/>
  <c r="S46"/>
  <c r="DD41" i="11" s="1"/>
  <c r="AA46" i="23"/>
  <c r="AB46" s="1"/>
  <c r="N46" s="1"/>
  <c r="Q46"/>
  <c r="R46" s="1"/>
  <c r="DE41" i="11" s="1"/>
  <c r="Q29" i="2"/>
  <c r="R29" s="1"/>
  <c r="AN29" s="1"/>
  <c r="AM60" i="23"/>
  <c r="DE55" i="11"/>
  <c r="AN60" i="23"/>
  <c r="Q50" i="2"/>
  <c r="R50" s="1"/>
  <c r="CD45" i="11" s="1"/>
  <c r="AA39" i="23"/>
  <c r="AB39" s="1"/>
  <c r="N39" s="1"/>
  <c r="P50" i="2"/>
  <c r="AM29" i="23"/>
  <c r="DE24" i="11"/>
  <c r="AN29" i="23"/>
  <c r="P65"/>
  <c r="Q65"/>
  <c r="R65" s="1"/>
  <c r="Q32"/>
  <c r="R32" s="1"/>
  <c r="AM32" s="1"/>
  <c r="S64"/>
  <c r="DD59" i="11" s="1"/>
  <c r="AA19" i="23"/>
  <c r="AB19" s="1"/>
  <c r="N19" s="1"/>
  <c r="Q44"/>
  <c r="R44" s="1"/>
  <c r="AA44"/>
  <c r="AB44" s="1"/>
  <c r="N44" s="1"/>
  <c r="P62" i="2"/>
  <c r="P58"/>
  <c r="P69"/>
  <c r="AA54"/>
  <c r="AB54" s="1"/>
  <c r="N54" s="1"/>
  <c r="S69"/>
  <c r="CC64" i="11" s="1"/>
  <c r="CZ14"/>
  <c r="DE20"/>
  <c r="S54" i="2"/>
  <c r="CC49" i="11" s="1"/>
  <c r="S62" i="2"/>
  <c r="CC57" i="11" s="1"/>
  <c r="P53" i="2"/>
  <c r="Q19" i="23"/>
  <c r="R19" s="1"/>
  <c r="DE14" i="11" s="1"/>
  <c r="AA32" i="23"/>
  <c r="AB32" s="1"/>
  <c r="N32" s="1"/>
  <c r="AA71"/>
  <c r="AB71" s="1"/>
  <c r="N71" s="1"/>
  <c r="AM46"/>
  <c r="AN46"/>
  <c r="P43" i="2"/>
  <c r="S43"/>
  <c r="CC38" i="11" s="1"/>
  <c r="S58" i="2"/>
  <c r="CC53" i="11" s="1"/>
  <c r="AA58" i="2"/>
  <c r="AB58" s="1"/>
  <c r="N58" s="1"/>
  <c r="S32" i="23"/>
  <c r="DD27" i="11" s="1"/>
  <c r="P64" i="23"/>
  <c r="Q43" i="2"/>
  <c r="R43" s="1"/>
  <c r="Q71" i="23"/>
  <c r="R71" s="1"/>
  <c r="AN71" s="1"/>
  <c r="Q13"/>
  <c r="R13" s="1"/>
  <c r="AM13" s="1"/>
  <c r="AC54"/>
  <c r="P54" s="1"/>
  <c r="S26" i="2"/>
  <c r="CC21" i="11" s="1"/>
  <c r="S49" i="23"/>
  <c r="DD44" i="11" s="1"/>
  <c r="AA49" i="23"/>
  <c r="AB49" s="1"/>
  <c r="N49" s="1"/>
  <c r="Q67" i="2"/>
  <c r="R67" s="1"/>
  <c r="AN67" s="1"/>
  <c r="AC51" i="23"/>
  <c r="X51"/>
  <c r="O51" s="1"/>
  <c r="DE7" i="11"/>
  <c r="AN12" i="23"/>
  <c r="AM12"/>
  <c r="X52"/>
  <c r="O52" s="1"/>
  <c r="AA52" s="1"/>
  <c r="AB52" s="1"/>
  <c r="N52" s="1"/>
  <c r="AC52"/>
  <c r="AC35"/>
  <c r="P35" s="1"/>
  <c r="Z35"/>
  <c r="AM19"/>
  <c r="CZ45" i="11"/>
  <c r="AA50" i="23"/>
  <c r="AB50" s="1"/>
  <c r="N50" s="1"/>
  <c r="CZ65" i="11"/>
  <c r="AC57" i="23"/>
  <c r="X57"/>
  <c r="O57" s="1"/>
  <c r="AA57" s="1"/>
  <c r="AB57" s="1"/>
  <c r="N57" s="1"/>
  <c r="Z44"/>
  <c r="AC44"/>
  <c r="P44" s="1"/>
  <c r="AC59"/>
  <c r="X59"/>
  <c r="O59" s="1"/>
  <c r="AA59" s="1"/>
  <c r="AB59" s="1"/>
  <c r="N59" s="1"/>
  <c r="Z23"/>
  <c r="AC23"/>
  <c r="P23" s="1"/>
  <c r="AC68"/>
  <c r="P68" s="1"/>
  <c r="Z68"/>
  <c r="DE70" i="11"/>
  <c r="AN75" i="23"/>
  <c r="AM75"/>
  <c r="CZ42" i="11"/>
  <c r="AC50" i="23"/>
  <c r="P50" s="1"/>
  <c r="S43"/>
  <c r="DD38" i="11" s="1"/>
  <c r="Q43" i="23"/>
  <c r="R43" s="1"/>
  <c r="P43"/>
  <c r="CZ49" i="11"/>
  <c r="AA54" i="23"/>
  <c r="AB54" s="1"/>
  <c r="N54" s="1"/>
  <c r="DE17" i="11"/>
  <c r="AM22" i="23"/>
  <c r="AN22"/>
  <c r="B69" i="2"/>
  <c r="AF69" s="1"/>
  <c r="B69" i="23"/>
  <c r="AF69" s="1"/>
  <c r="CZ71" i="11"/>
  <c r="AC56" i="23"/>
  <c r="X56"/>
  <c r="O56" s="1"/>
  <c r="AA56" s="1"/>
  <c r="AB56" s="1"/>
  <c r="N56" s="1"/>
  <c r="AC71"/>
  <c r="P71" s="1"/>
  <c r="Z71"/>
  <c r="AC55"/>
  <c r="X55"/>
  <c r="O55" s="1"/>
  <c r="AC61"/>
  <c r="X61"/>
  <c r="O61" s="1"/>
  <c r="CZ58" i="11"/>
  <c r="AC74" i="23"/>
  <c r="P74" s="1"/>
  <c r="Z74"/>
  <c r="DE15" i="11"/>
  <c r="AM20" i="23"/>
  <c r="AN20"/>
  <c r="DE23" i="11"/>
  <c r="AN28" i="23"/>
  <c r="AM28"/>
  <c r="DE28" i="11"/>
  <c r="AM33" i="23"/>
  <c r="AN33"/>
  <c r="AA53"/>
  <c r="AB53" s="1"/>
  <c r="N53" s="1"/>
  <c r="S53"/>
  <c r="DD48" i="11" s="1"/>
  <c r="Q53" i="23"/>
  <c r="R53" s="1"/>
  <c r="DE29" i="11"/>
  <c r="AM34" i="23"/>
  <c r="AN34"/>
  <c r="AC58"/>
  <c r="X58"/>
  <c r="O58" s="1"/>
  <c r="AA58" s="1"/>
  <c r="AB58" s="1"/>
  <c r="N58" s="1"/>
  <c r="X62"/>
  <c r="O62" s="1"/>
  <c r="AA62" s="1"/>
  <c r="AB62" s="1"/>
  <c r="N62" s="1"/>
  <c r="AC62"/>
  <c r="DE21" i="11"/>
  <c r="AN26" i="23"/>
  <c r="AM26"/>
  <c r="DE44" i="11"/>
  <c r="AN49" i="23"/>
  <c r="AM49"/>
  <c r="DE13" i="11"/>
  <c r="AN18" i="23"/>
  <c r="AM18"/>
  <c r="CZ8" i="11"/>
  <c r="AA13" i="23"/>
  <c r="AB13" s="1"/>
  <c r="N13" s="1"/>
  <c r="DE33" i="11"/>
  <c r="AN38" i="23"/>
  <c r="AM38"/>
  <c r="S54"/>
  <c r="DD49" i="11" s="1"/>
  <c r="Q54" i="23"/>
  <c r="R54" s="1"/>
  <c r="Q26" i="2"/>
  <c r="R26" s="1"/>
  <c r="CD21" i="11" s="1"/>
  <c r="DE26"/>
  <c r="AN31" i="23"/>
  <c r="AM31"/>
  <c r="X76"/>
  <c r="O76" s="1"/>
  <c r="AA76" s="1"/>
  <c r="AB76" s="1"/>
  <c r="N76" s="1"/>
  <c r="AC76"/>
  <c r="CZ51" i="11"/>
  <c r="Z13" i="23"/>
  <c r="AC13"/>
  <c r="P13" s="1"/>
  <c r="CZ47" i="11"/>
  <c r="AC63" i="23"/>
  <c r="X63"/>
  <c r="O63" s="1"/>
  <c r="AA63" s="1"/>
  <c r="AB63" s="1"/>
  <c r="N63" s="1"/>
  <c r="DE69" i="11"/>
  <c r="AM74" i="23"/>
  <c r="AN74"/>
  <c r="DE19" i="11"/>
  <c r="AM24" i="23"/>
  <c r="AN24"/>
  <c r="AC69"/>
  <c r="P69" s="1"/>
  <c r="S50"/>
  <c r="DD45" i="11" s="1"/>
  <c r="Q50" i="23"/>
  <c r="R50" s="1"/>
  <c r="Z34"/>
  <c r="AC34"/>
  <c r="P34" s="1"/>
  <c r="DE35" i="11"/>
  <c r="AM40" i="23"/>
  <c r="AN40"/>
  <c r="AC26"/>
  <c r="P26" s="1"/>
  <c r="Z26"/>
  <c r="DE25" i="11"/>
  <c r="AN30" i="23"/>
  <c r="AM30"/>
  <c r="Z49"/>
  <c r="AC49"/>
  <c r="P49" s="1"/>
  <c r="Z18"/>
  <c r="AC18"/>
  <c r="P18" s="1"/>
  <c r="Z39"/>
  <c r="AC39"/>
  <c r="P39" s="1"/>
  <c r="DE11" i="11"/>
  <c r="AN16" i="23"/>
  <c r="AM16"/>
  <c r="DE59" i="11"/>
  <c r="AM64" i="23"/>
  <c r="AN64"/>
  <c r="DE16" i="11"/>
  <c r="AM21" i="23"/>
  <c r="AN21"/>
  <c r="AM17"/>
  <c r="DE62" i="11"/>
  <c r="AN67" i="23"/>
  <c r="AM67"/>
  <c r="AC31"/>
  <c r="P31" s="1"/>
  <c r="Z31"/>
  <c r="DE74" i="11"/>
  <c r="R6" i="23"/>
  <c r="AM79"/>
  <c r="AN79"/>
  <c r="Z12"/>
  <c r="AC12"/>
  <c r="P12" s="1"/>
  <c r="AM37"/>
  <c r="DE30" i="11"/>
  <c r="AN35" i="23"/>
  <c r="AM35"/>
  <c r="DE73" i="11"/>
  <c r="AM78" i="23"/>
  <c r="AN78"/>
  <c r="AC70"/>
  <c r="X70"/>
  <c r="O70" s="1"/>
  <c r="AA70" s="1"/>
  <c r="AB70" s="1"/>
  <c r="N70" s="1"/>
  <c r="AA69"/>
  <c r="AB69" s="1"/>
  <c r="N69" s="1"/>
  <c r="S69"/>
  <c r="DD64" i="11" s="1"/>
  <c r="Q69" i="23"/>
  <c r="R69" s="1"/>
  <c r="CZ52" i="11"/>
  <c r="DE39"/>
  <c r="AM44" i="23"/>
  <c r="AN44"/>
  <c r="CZ53" i="11"/>
  <c r="CZ54"/>
  <c r="CZ57"/>
  <c r="DE63"/>
  <c r="AN68" i="23"/>
  <c r="AM68"/>
  <c r="AC47"/>
  <c r="X47"/>
  <c r="O47" s="1"/>
  <c r="Z32"/>
  <c r="AC32"/>
  <c r="P32" s="1"/>
  <c r="AO36"/>
  <c r="AP36" s="1"/>
  <c r="AQ36" s="1"/>
  <c r="Q64" i="2"/>
  <c r="R64" s="1"/>
  <c r="CD59" i="11" s="1"/>
  <c r="AA67" i="2"/>
  <c r="AB67" s="1"/>
  <c r="N67" s="1"/>
  <c r="CD63" i="11"/>
  <c r="AN68" i="2"/>
  <c r="P38"/>
  <c r="P71"/>
  <c r="P18"/>
  <c r="Z64"/>
  <c r="AC64"/>
  <c r="P64" s="1"/>
  <c r="CD60" i="11"/>
  <c r="AN65" i="2"/>
  <c r="CD11" i="11"/>
  <c r="AN16" i="2"/>
  <c r="Z25"/>
  <c r="AC25"/>
  <c r="P25" s="1"/>
  <c r="CD62" i="11"/>
  <c r="BY59"/>
  <c r="AA64" i="2"/>
  <c r="AB64" s="1"/>
  <c r="N64" s="1"/>
  <c r="Z67"/>
  <c r="AC67"/>
  <c r="P67" s="1"/>
  <c r="Z68"/>
  <c r="AC68"/>
  <c r="P68" s="1"/>
  <c r="AA68"/>
  <c r="AB68" s="1"/>
  <c r="N68" s="1"/>
  <c r="S68"/>
  <c r="CC63" i="11" s="1"/>
  <c r="Z65" i="2"/>
  <c r="AC65"/>
  <c r="P65" s="1"/>
  <c r="AC16"/>
  <c r="P16" s="1"/>
  <c r="Z16"/>
  <c r="Z29"/>
  <c r="AC29"/>
  <c r="P29" s="1"/>
  <c r="P26"/>
  <c r="P20"/>
  <c r="S39"/>
  <c r="CC34" i="11" s="1"/>
  <c r="AA39" i="2"/>
  <c r="AB39" s="1"/>
  <c r="N39" s="1"/>
  <c r="Q39"/>
  <c r="R39" s="1"/>
  <c r="P39"/>
  <c r="P44"/>
  <c r="S44"/>
  <c r="CC39" i="11" s="1"/>
  <c r="Q44" i="2"/>
  <c r="R44" s="1"/>
  <c r="AN26"/>
  <c r="AN35"/>
  <c r="AN54"/>
  <c r="AN60"/>
  <c r="Q20"/>
  <c r="R20" s="1"/>
  <c r="CD15" i="11" s="1"/>
  <c r="S20" i="2"/>
  <c r="CC15" i="11" s="1"/>
  <c r="Q38" i="2"/>
  <c r="R38" s="1"/>
  <c r="CD33" i="11" s="1"/>
  <c r="S38" i="2"/>
  <c r="CC33" i="11" s="1"/>
  <c r="P28" i="2"/>
  <c r="S28"/>
  <c r="CC23" i="11" s="1"/>
  <c r="Q28" i="2"/>
  <c r="R28" s="1"/>
  <c r="CD23" i="11" s="1"/>
  <c r="AN57" i="2"/>
  <c r="AN70"/>
  <c r="AA44"/>
  <c r="AB44" s="1"/>
  <c r="N44" s="1"/>
  <c r="Q18"/>
  <c r="R18" s="1"/>
  <c r="CD13" i="11" s="1"/>
  <c r="S18" i="2"/>
  <c r="CC13" i="11" s="1"/>
  <c r="AN37" i="2"/>
  <c r="AN55"/>
  <c r="AN43"/>
  <c r="AN22"/>
  <c r="AN45"/>
  <c r="P46"/>
  <c r="Q46"/>
  <c r="R46" s="1"/>
  <c r="S46"/>
  <c r="CC41" i="11" s="1"/>
  <c r="AN32" i="2"/>
  <c r="P52"/>
  <c r="S52"/>
  <c r="CC47" i="11" s="1"/>
  <c r="Q52" i="2"/>
  <c r="R52" s="1"/>
  <c r="CD47" i="11" s="1"/>
  <c r="AN69" i="2"/>
  <c r="S30"/>
  <c r="CC25" i="11" s="1"/>
  <c r="Q30" i="2"/>
  <c r="R30" s="1"/>
  <c r="CD25" i="11" s="1"/>
  <c r="P30" i="2"/>
  <c r="P61"/>
  <c r="S61"/>
  <c r="CC56" i="11" s="1"/>
  <c r="Q61" i="2"/>
  <c r="R61" s="1"/>
  <c r="CD56" i="11" s="1"/>
  <c r="AN62" i="2"/>
  <c r="AA20"/>
  <c r="AB20" s="1"/>
  <c r="N20" s="1"/>
  <c r="AA61"/>
  <c r="AB61" s="1"/>
  <c r="N61" s="1"/>
  <c r="P49"/>
  <c r="AN40"/>
  <c r="AN72"/>
  <c r="Q71"/>
  <c r="R71" s="1"/>
  <c r="CD66" i="11" s="1"/>
  <c r="S71" i="2"/>
  <c r="CC66" i="11" s="1"/>
  <c r="AN59" i="2"/>
  <c r="P24"/>
  <c r="S24"/>
  <c r="CC19" i="11" s="1"/>
  <c r="Q24" i="2"/>
  <c r="R24" s="1"/>
  <c r="CD19" i="11" s="1"/>
  <c r="AN33" i="2"/>
  <c r="S47"/>
  <c r="CC42" i="11" s="1"/>
  <c r="P47" i="2"/>
  <c r="Q47"/>
  <c r="R47" s="1"/>
  <c r="AA30"/>
  <c r="AB30" s="1"/>
  <c r="N30" s="1"/>
  <c r="AN50"/>
  <c r="Q31"/>
  <c r="R31" s="1"/>
  <c r="CD26" i="11" s="1"/>
  <c r="P31" i="2"/>
  <c r="S31"/>
  <c r="CC26" i="11" s="1"/>
  <c r="AN34" i="2"/>
  <c r="AN17"/>
  <c r="Q49"/>
  <c r="R49" s="1"/>
  <c r="CD44" i="11" s="1"/>
  <c r="S49" i="2"/>
  <c r="CC44" i="11" s="1"/>
  <c r="P23" i="2"/>
  <c r="S23"/>
  <c r="CC18" i="11" s="1"/>
  <c r="Q23" i="2"/>
  <c r="R23" s="1"/>
  <c r="CD18" i="11" s="1"/>
  <c r="AN58" i="2"/>
  <c r="Q19"/>
  <c r="R19" s="1"/>
  <c r="CD14" i="11" s="1"/>
  <c r="P19" i="2"/>
  <c r="S19"/>
  <c r="CC14" i="11" s="1"/>
  <c r="AN51" i="2"/>
  <c r="AN56"/>
  <c r="AN36"/>
  <c r="AN63"/>
  <c r="AN53"/>
  <c r="AN21"/>
  <c r="CT64" i="11"/>
  <c r="BS64"/>
  <c r="BK63"/>
  <c r="DE12" l="1"/>
  <c r="DE32"/>
  <c r="CD20"/>
  <c r="DE27"/>
  <c r="AM39" i="23"/>
  <c r="DE40" i="11"/>
  <c r="AN45" i="23"/>
  <c r="AM45"/>
  <c r="AN23"/>
  <c r="AN39"/>
  <c r="CD24" i="11"/>
  <c r="DE18"/>
  <c r="AN32" i="23"/>
  <c r="AO32" s="1"/>
  <c r="AP32" s="1"/>
  <c r="AN13"/>
  <c r="AO13" s="1"/>
  <c r="AP13" s="1"/>
  <c r="AN19"/>
  <c r="AM72"/>
  <c r="DE67" i="11"/>
  <c r="AN72" i="23"/>
  <c r="AM25"/>
  <c r="AN25"/>
  <c r="DE8" i="11"/>
  <c r="AO60" i="23"/>
  <c r="AP60" s="1"/>
  <c r="AQ60" s="1"/>
  <c r="AM71"/>
  <c r="AO71" s="1"/>
  <c r="AP71" s="1"/>
  <c r="AQ71" s="1"/>
  <c r="AO29"/>
  <c r="AP29" s="1"/>
  <c r="AQ29" s="1"/>
  <c r="AO46"/>
  <c r="DE60" i="11"/>
  <c r="AN65" i="23"/>
  <c r="AM65"/>
  <c r="AN64" i="2"/>
  <c r="DE66" i="11"/>
  <c r="AO26" i="23"/>
  <c r="AP26" s="1"/>
  <c r="AQ26" s="1"/>
  <c r="AO28"/>
  <c r="AP28" s="1"/>
  <c r="AQ28" s="1"/>
  <c r="AO23"/>
  <c r="AO79"/>
  <c r="AP79" s="1"/>
  <c r="AR79" s="1"/>
  <c r="AO21"/>
  <c r="AO64"/>
  <c r="AP64" s="1"/>
  <c r="AQ64" s="1"/>
  <c r="AO74"/>
  <c r="AP74" s="1"/>
  <c r="AR74" s="1"/>
  <c r="AO33"/>
  <c r="AP33" s="1"/>
  <c r="AQ33" s="1"/>
  <c r="AO37"/>
  <c r="AO34"/>
  <c r="AO22"/>
  <c r="AO12"/>
  <c r="AP12" s="1"/>
  <c r="AQ12" s="1"/>
  <c r="AO68"/>
  <c r="AO38"/>
  <c r="AO18"/>
  <c r="AP18" s="1"/>
  <c r="AQ18" s="1"/>
  <c r="AO75"/>
  <c r="AP75" s="1"/>
  <c r="AQ75" s="1"/>
  <c r="P47"/>
  <c r="S47"/>
  <c r="DD42" i="11" s="1"/>
  <c r="Q47" i="23"/>
  <c r="R47" s="1"/>
  <c r="AR36"/>
  <c r="AO35"/>
  <c r="AP35" s="1"/>
  <c r="AQ35" s="1"/>
  <c r="AO16"/>
  <c r="AP16" s="1"/>
  <c r="AQ16" s="1"/>
  <c r="AO40"/>
  <c r="AP40" s="1"/>
  <c r="AQ40" s="1"/>
  <c r="DE45" i="11"/>
  <c r="AN50" i="23"/>
  <c r="AM50"/>
  <c r="P63"/>
  <c r="Q63"/>
  <c r="R63" s="1"/>
  <c r="S63"/>
  <c r="DD58" i="11" s="1"/>
  <c r="P76" i="23"/>
  <c r="AO49"/>
  <c r="AP49" s="1"/>
  <c r="AQ49" s="1"/>
  <c r="P58"/>
  <c r="S58"/>
  <c r="DD53" i="11" s="1"/>
  <c r="Q58" i="23"/>
  <c r="R58" s="1"/>
  <c r="P55"/>
  <c r="AO19"/>
  <c r="AP19" s="1"/>
  <c r="AQ19" s="1"/>
  <c r="P70"/>
  <c r="S70"/>
  <c r="DD65" i="11" s="1"/>
  <c r="Q70" i="23"/>
  <c r="R70" s="1"/>
  <c r="AQ79"/>
  <c r="Q76"/>
  <c r="R76" s="1"/>
  <c r="S76"/>
  <c r="DD71" i="11" s="1"/>
  <c r="DE48"/>
  <c r="AM53" i="23"/>
  <c r="AN53"/>
  <c r="AA61"/>
  <c r="AB61" s="1"/>
  <c r="N61" s="1"/>
  <c r="P61"/>
  <c r="S61"/>
  <c r="DD56" i="11" s="1"/>
  <c r="Q61" i="23"/>
  <c r="R61" s="1"/>
  <c r="AA47"/>
  <c r="AB47" s="1"/>
  <c r="N47" s="1"/>
  <c r="P52"/>
  <c r="AA51"/>
  <c r="AB51" s="1"/>
  <c r="N51" s="1"/>
  <c r="S51"/>
  <c r="DD46" i="11" s="1"/>
  <c r="P51" i="23"/>
  <c r="Q51"/>
  <c r="R51" s="1"/>
  <c r="B68" i="2"/>
  <c r="AF68" s="1"/>
  <c r="B68" i="23"/>
  <c r="AF68" s="1"/>
  <c r="AO44"/>
  <c r="AP44" s="1"/>
  <c r="AQ44" s="1"/>
  <c r="DE64" i="11"/>
  <c r="AN69" i="23"/>
  <c r="AM69"/>
  <c r="AO78"/>
  <c r="AP78" s="1"/>
  <c r="AO67"/>
  <c r="AP67" s="1"/>
  <c r="AQ67" s="1"/>
  <c r="AO17"/>
  <c r="AP17" s="1"/>
  <c r="AQ17" s="1"/>
  <c r="AO30"/>
  <c r="AP30" s="1"/>
  <c r="AQ30" s="1"/>
  <c r="AO24"/>
  <c r="AP24" s="1"/>
  <c r="AQ24" s="1"/>
  <c r="AO31"/>
  <c r="AP31" s="1"/>
  <c r="AQ31" s="1"/>
  <c r="P56"/>
  <c r="S56"/>
  <c r="DD51" i="11" s="1"/>
  <c r="Q56" i="23"/>
  <c r="R56" s="1"/>
  <c r="DE38" i="11"/>
  <c r="AM43" i="23"/>
  <c r="AN43"/>
  <c r="P59"/>
  <c r="Q59"/>
  <c r="R59" s="1"/>
  <c r="S59"/>
  <c r="DD54" i="11" s="1"/>
  <c r="P57" i="23"/>
  <c r="S57"/>
  <c r="DD52" i="11" s="1"/>
  <c r="Q57" i="23"/>
  <c r="R57" s="1"/>
  <c r="S52"/>
  <c r="DD47" i="11" s="1"/>
  <c r="Q52" i="23"/>
  <c r="R52" s="1"/>
  <c r="DE49" i="11"/>
  <c r="AM54" i="23"/>
  <c r="AN54"/>
  <c r="S62"/>
  <c r="DD57" i="11" s="1"/>
  <c r="P62" i="23"/>
  <c r="Q62"/>
  <c r="R62" s="1"/>
  <c r="AO20"/>
  <c r="AP20" s="1"/>
  <c r="AQ20" s="1"/>
  <c r="AA55"/>
  <c r="AB55" s="1"/>
  <c r="N55" s="1"/>
  <c r="S55"/>
  <c r="DD50" i="11" s="1"/>
  <c r="Q55" i="23"/>
  <c r="R55" s="1"/>
  <c r="AR75"/>
  <c r="CD34" i="11"/>
  <c r="AN39" i="2"/>
  <c r="AN31"/>
  <c r="AN47"/>
  <c r="AN18"/>
  <c r="AN20"/>
  <c r="AN23"/>
  <c r="AN49"/>
  <c r="AN24"/>
  <c r="AN61"/>
  <c r="AN30"/>
  <c r="AN52"/>
  <c r="AN44"/>
  <c r="AN19"/>
  <c r="AN28"/>
  <c r="AN38"/>
  <c r="AN71"/>
  <c r="AN46"/>
  <c r="BK62" i="11"/>
  <c r="BS63"/>
  <c r="CT63"/>
  <c r="AO39" i="23" l="1"/>
  <c r="AP39" s="1"/>
  <c r="AQ39" s="1"/>
  <c r="AR33"/>
  <c r="AQ32"/>
  <c r="AR32"/>
  <c r="AP68"/>
  <c r="AQ68" s="1"/>
  <c r="AP46"/>
  <c r="AQ46" s="1"/>
  <c r="AP38"/>
  <c r="AQ38" s="1"/>
  <c r="AP34"/>
  <c r="AQ34" s="1"/>
  <c r="AP23"/>
  <c r="AQ23" s="1"/>
  <c r="AP22"/>
  <c r="AQ22" s="1"/>
  <c r="AP37"/>
  <c r="AQ37" s="1"/>
  <c r="AP21"/>
  <c r="AQ21" s="1"/>
  <c r="AO45"/>
  <c r="AP45" s="1"/>
  <c r="AQ45" s="1"/>
  <c r="AQ74"/>
  <c r="AS74" s="1"/>
  <c r="AV74" s="1"/>
  <c r="AR64"/>
  <c r="AS64" s="1"/>
  <c r="AT64" s="1"/>
  <c r="AO72"/>
  <c r="AP72" s="1"/>
  <c r="AQ72" s="1"/>
  <c r="AR71"/>
  <c r="AO25"/>
  <c r="AP25" s="1"/>
  <c r="AQ25" s="1"/>
  <c r="AR60"/>
  <c r="AR29"/>
  <c r="AO65"/>
  <c r="AP65" s="1"/>
  <c r="AQ65" s="1"/>
  <c r="AR12"/>
  <c r="AS12" s="1"/>
  <c r="AR28"/>
  <c r="AS28" s="1"/>
  <c r="AT28" s="1"/>
  <c r="AS36"/>
  <c r="AT36" s="1"/>
  <c r="DG31" i="11" s="1"/>
  <c r="AR26" i="23"/>
  <c r="AS26" s="1"/>
  <c r="AT26" s="1"/>
  <c r="AR18"/>
  <c r="AS18" s="1"/>
  <c r="AT18" s="1"/>
  <c r="AO54"/>
  <c r="AO69"/>
  <c r="AP69" s="1"/>
  <c r="AQ69" s="1"/>
  <c r="AO50"/>
  <c r="AS75"/>
  <c r="DE50" i="11"/>
  <c r="AM55" i="23"/>
  <c r="AN55"/>
  <c r="DE47" i="11"/>
  <c r="AM52" i="23"/>
  <c r="AN52"/>
  <c r="B67" i="2"/>
  <c r="AF67" s="1"/>
  <c r="B67" i="23"/>
  <c r="AF67" s="1"/>
  <c r="AS32"/>
  <c r="AT32" s="1"/>
  <c r="AO43"/>
  <c r="AP43" s="1"/>
  <c r="AQ43" s="1"/>
  <c r="AR24"/>
  <c r="AR67"/>
  <c r="DE46" i="11"/>
  <c r="AM51" i="23"/>
  <c r="AN51"/>
  <c r="AR13"/>
  <c r="AQ13"/>
  <c r="AR10" s="1"/>
  <c r="BI73" i="11" s="1"/>
  <c r="BI74" s="1"/>
  <c r="AO53" i="23"/>
  <c r="AP53" s="1"/>
  <c r="AQ53" s="1"/>
  <c r="DE65" i="11"/>
  <c r="AM70" i="23"/>
  <c r="AN70"/>
  <c r="AR49"/>
  <c r="DE58" i="11"/>
  <c r="AM63" i="23"/>
  <c r="AN63"/>
  <c r="AR35"/>
  <c r="DE52" i="11"/>
  <c r="AN57" i="23"/>
  <c r="AM57"/>
  <c r="DE54" i="11"/>
  <c r="AN59" i="23"/>
  <c r="AM59"/>
  <c r="AR78"/>
  <c r="AQ78"/>
  <c r="AR77" s="1"/>
  <c r="BB73" i="11" s="1"/>
  <c r="BB74" s="1"/>
  <c r="AR44" i="23"/>
  <c r="DE56" i="11"/>
  <c r="AM61" i="23"/>
  <c r="AN61"/>
  <c r="DE53" i="11"/>
  <c r="AN58" i="23"/>
  <c r="AM58"/>
  <c r="AR39"/>
  <c r="AR40"/>
  <c r="DF31" i="11"/>
  <c r="AU36" i="23"/>
  <c r="DE42" i="11"/>
  <c r="AM47" i="23"/>
  <c r="AN47"/>
  <c r="DE51" i="11"/>
  <c r="AM56" i="23"/>
  <c r="AN56"/>
  <c r="AR30"/>
  <c r="AS33"/>
  <c r="AT33" s="1"/>
  <c r="AR20"/>
  <c r="DE57" i="11"/>
  <c r="AN62" i="23"/>
  <c r="AM62"/>
  <c r="AR31"/>
  <c r="AR17"/>
  <c r="DE71" i="11"/>
  <c r="AN76" i="23"/>
  <c r="AM76"/>
  <c r="AS79"/>
  <c r="AR19"/>
  <c r="AR16"/>
  <c r="CT62" i="11"/>
  <c r="BS62"/>
  <c r="BK60"/>
  <c r="AV36" i="23" l="1"/>
  <c r="DH31" i="11" s="1"/>
  <c r="AR34" i="23"/>
  <c r="AS34" s="1"/>
  <c r="AT34" s="1"/>
  <c r="AR46"/>
  <c r="AS46" s="1"/>
  <c r="AR22"/>
  <c r="AS22" s="1"/>
  <c r="AT22" s="1"/>
  <c r="AR68"/>
  <c r="AS68" s="1"/>
  <c r="AT68" s="1"/>
  <c r="DG63" i="11" s="1"/>
  <c r="AR21" i="23"/>
  <c r="AS21" s="1"/>
  <c r="AT21" s="1"/>
  <c r="AP54"/>
  <c r="AQ54" s="1"/>
  <c r="AR37"/>
  <c r="AS37" s="1"/>
  <c r="AR23"/>
  <c r="AS23" s="1"/>
  <c r="AT23" s="1"/>
  <c r="AR38"/>
  <c r="AS38" s="1"/>
  <c r="AV38" s="1"/>
  <c r="DH33" i="11" s="1"/>
  <c r="AP50" i="23"/>
  <c r="AQ50" s="1"/>
  <c r="AS71"/>
  <c r="AT71" s="1"/>
  <c r="DG66" i="11" s="1"/>
  <c r="DF59"/>
  <c r="DG59"/>
  <c r="AU64" i="23"/>
  <c r="AV64"/>
  <c r="DH59" i="11" s="1"/>
  <c r="AU74" i="23"/>
  <c r="DF69" i="11"/>
  <c r="AU68" i="23"/>
  <c r="AV68"/>
  <c r="DH63" i="11" s="1"/>
  <c r="AR45" i="23"/>
  <c r="AT74"/>
  <c r="DG69" i="11" s="1"/>
  <c r="AR72" i="23"/>
  <c r="AS72" s="1"/>
  <c r="AR25"/>
  <c r="AS60"/>
  <c r="AT60" s="1"/>
  <c r="AS29"/>
  <c r="AO56"/>
  <c r="AP56" s="1"/>
  <c r="AQ56" s="1"/>
  <c r="AR65"/>
  <c r="AS44"/>
  <c r="AV44" s="1"/>
  <c r="DH39" i="11" s="1"/>
  <c r="DF17"/>
  <c r="AV22" i="23"/>
  <c r="DH17" i="11" s="1"/>
  <c r="DG17"/>
  <c r="AR69" i="23"/>
  <c r="AS69" s="1"/>
  <c r="AT69" s="1"/>
  <c r="AS24"/>
  <c r="AO76"/>
  <c r="AP76" s="1"/>
  <c r="AR76" s="1"/>
  <c r="AS17"/>
  <c r="AO62"/>
  <c r="AP62" s="1"/>
  <c r="AQ62" s="1"/>
  <c r="AO58"/>
  <c r="AP58" s="1"/>
  <c r="AQ58" s="1"/>
  <c r="AS67"/>
  <c r="AO57"/>
  <c r="AP57" s="1"/>
  <c r="AQ57" s="1"/>
  <c r="AO51"/>
  <c r="AR14"/>
  <c r="BH73" i="11" s="1"/>
  <c r="BH74" s="1"/>
  <c r="AO70" i="23"/>
  <c r="AS16"/>
  <c r="AT16" s="1"/>
  <c r="AS20"/>
  <c r="AT20" s="1"/>
  <c r="AS19"/>
  <c r="AT19" s="1"/>
  <c r="AS31"/>
  <c r="AT31" s="1"/>
  <c r="AO47"/>
  <c r="AP47" s="1"/>
  <c r="AQ47" s="1"/>
  <c r="AS39"/>
  <c r="AT39" s="1"/>
  <c r="AO59"/>
  <c r="AP59" s="1"/>
  <c r="AQ59" s="1"/>
  <c r="AS35"/>
  <c r="AT35" s="1"/>
  <c r="DF27" i="11"/>
  <c r="AV32" i="23"/>
  <c r="DH27" i="11" s="1"/>
  <c r="DG27"/>
  <c r="AU32" i="23"/>
  <c r="DF21" i="11"/>
  <c r="AU26" i="23"/>
  <c r="DG21" i="11"/>
  <c r="AV26" i="23"/>
  <c r="DH21" i="11" s="1"/>
  <c r="DF74"/>
  <c r="AU79" i="23"/>
  <c r="AV79"/>
  <c r="DH74" i="11" s="1"/>
  <c r="AT79" i="23"/>
  <c r="DG74" i="11" s="1"/>
  <c r="AR27" i="23"/>
  <c r="BG73" i="11" s="1"/>
  <c r="BG74" s="1"/>
  <c r="AR56" i="23"/>
  <c r="DH69" i="11"/>
  <c r="AR53" i="23"/>
  <c r="DF23" i="11"/>
  <c r="DG23"/>
  <c r="AV28" i="23"/>
  <c r="AU28"/>
  <c r="AU71"/>
  <c r="B65" i="2"/>
  <c r="AF65" s="1"/>
  <c r="B65" i="23"/>
  <c r="AF65" s="1"/>
  <c r="DF13" i="11"/>
  <c r="AV18" i="23"/>
  <c r="DH13" i="11" s="1"/>
  <c r="AU18" i="23"/>
  <c r="DG13" i="11"/>
  <c r="DF28"/>
  <c r="AV33" i="23"/>
  <c r="DH28" i="11" s="1"/>
  <c r="DG28"/>
  <c r="AU33" i="23"/>
  <c r="AS30"/>
  <c r="AT30" s="1"/>
  <c r="AO61"/>
  <c r="AP61" s="1"/>
  <c r="AQ61" s="1"/>
  <c r="AS49"/>
  <c r="AT49" s="1"/>
  <c r="DF7" i="11"/>
  <c r="AU12" i="23"/>
  <c r="AV12"/>
  <c r="AT12"/>
  <c r="DG7" i="11" s="1"/>
  <c r="AO52" i="23"/>
  <c r="AP52" s="1"/>
  <c r="AQ52" s="1"/>
  <c r="AO55"/>
  <c r="AP55" s="1"/>
  <c r="AQ55" s="1"/>
  <c r="DF29" i="11"/>
  <c r="DG29"/>
  <c r="AV34" i="23"/>
  <c r="DH29" i="11" s="1"/>
  <c r="AU34" i="23"/>
  <c r="AQ76"/>
  <c r="AR73" s="1"/>
  <c r="BC73" i="11" s="1"/>
  <c r="BC74" s="1"/>
  <c r="AS40" i="23"/>
  <c r="AT40" s="1"/>
  <c r="AS78"/>
  <c r="AO63"/>
  <c r="AP63" s="1"/>
  <c r="AQ63" s="1"/>
  <c r="DF18" i="11"/>
  <c r="AV23" i="23"/>
  <c r="DH18" i="11" s="1"/>
  <c r="AU23" i="23"/>
  <c r="DG18" i="11"/>
  <c r="DF16"/>
  <c r="AU21" i="23"/>
  <c r="AV21"/>
  <c r="DH16" i="11" s="1"/>
  <c r="DG16"/>
  <c r="AS13" i="23"/>
  <c r="AR43"/>
  <c r="DF70" i="11"/>
  <c r="AU75" i="23"/>
  <c r="AV75"/>
  <c r="DH70" i="11" s="1"/>
  <c r="AT75" i="23"/>
  <c r="DG70" i="11" s="1"/>
  <c r="BS60"/>
  <c r="CT60"/>
  <c r="BK59"/>
  <c r="DF63" l="1"/>
  <c r="AU22" i="23"/>
  <c r="AR54"/>
  <c r="AS54" s="1"/>
  <c r="DF49" i="11" s="1"/>
  <c r="AT46" i="23"/>
  <c r="DG41" i="11" s="1"/>
  <c r="DF41"/>
  <c r="AV46" i="23"/>
  <c r="DH41" i="11" s="1"/>
  <c r="AU46" i="23"/>
  <c r="AR57"/>
  <c r="AS57" s="1"/>
  <c r="AR50"/>
  <c r="AS50" s="1"/>
  <c r="AT50" s="1"/>
  <c r="AT54"/>
  <c r="DF24" i="11"/>
  <c r="AT29" i="23"/>
  <c r="DF33" i="11"/>
  <c r="AT38" i="23"/>
  <c r="DG33" i="11" s="1"/>
  <c r="AP70" i="23"/>
  <c r="AQ70" s="1"/>
  <c r="AR66" s="1"/>
  <c r="BD73" i="11" s="1"/>
  <c r="BD74" s="1"/>
  <c r="AU17" i="23"/>
  <c r="AT17"/>
  <c r="DG12" i="11" s="1"/>
  <c r="AT37" i="23"/>
  <c r="DG32" i="11" s="1"/>
  <c r="AU37" i="23"/>
  <c r="DF32" i="11"/>
  <c r="AV37" i="23"/>
  <c r="DH32" i="11" s="1"/>
  <c r="AU38" i="23"/>
  <c r="AP51"/>
  <c r="AQ51" s="1"/>
  <c r="AV24"/>
  <c r="DH19" i="11" s="1"/>
  <c r="AT24" i="23"/>
  <c r="DG19" i="11" s="1"/>
  <c r="AU44" i="23"/>
  <c r="AT44"/>
  <c r="DG39" i="11" s="1"/>
  <c r="DF66"/>
  <c r="AT67" i="23"/>
  <c r="DG62" i="11" s="1"/>
  <c r="AU72" i="23"/>
  <c r="AT72"/>
  <c r="DG67" i="11" s="1"/>
  <c r="AV71" i="23"/>
  <c r="DH66" i="11" s="1"/>
  <c r="AR58" i="23"/>
  <c r="AV54"/>
  <c r="DH49" i="11" s="1"/>
  <c r="AU24" i="23"/>
  <c r="AS45"/>
  <c r="AT45" s="1"/>
  <c r="DG49" i="11"/>
  <c r="DF39"/>
  <c r="DF19"/>
  <c r="AV72" i="23"/>
  <c r="DH67" i="11" s="1"/>
  <c r="DF67"/>
  <c r="AS25" i="23"/>
  <c r="AT25" s="1"/>
  <c r="DG55" i="11"/>
  <c r="AU60" i="23"/>
  <c r="DF55" i="11"/>
  <c r="AV60" i="23"/>
  <c r="DH55" i="11" s="1"/>
  <c r="AV29" i="23"/>
  <c r="DH24" i="11" s="1"/>
  <c r="AU29" i="23"/>
  <c r="DG24" i="11"/>
  <c r="AS76" i="23"/>
  <c r="AU76" s="1"/>
  <c r="AS65"/>
  <c r="AT65" s="1"/>
  <c r="DF62" i="11"/>
  <c r="AV17" i="23"/>
  <c r="DH12" i="11" s="1"/>
  <c r="AV67" i="23"/>
  <c r="DH62" i="11" s="1"/>
  <c r="AR70" i="23"/>
  <c r="AU67"/>
  <c r="AR62"/>
  <c r="AS62" s="1"/>
  <c r="AT62" s="1"/>
  <c r="DF12" i="11"/>
  <c r="DF8"/>
  <c r="AU13" i="23"/>
  <c r="AV13"/>
  <c r="DH8" i="11" s="1"/>
  <c r="AT13" i="23"/>
  <c r="DG8" i="11" s="1"/>
  <c r="DF73"/>
  <c r="AV78" i="23"/>
  <c r="AU78"/>
  <c r="AT78"/>
  <c r="DG73" i="11" s="1"/>
  <c r="AR63" i="23"/>
  <c r="DF35" i="11"/>
  <c r="AV40" i="23"/>
  <c r="DH35" i="11" s="1"/>
  <c r="AU40" i="23"/>
  <c r="DG35" i="11"/>
  <c r="AR52" i="23"/>
  <c r="B64" i="2"/>
  <c r="AF64" s="1"/>
  <c r="B64" i="23"/>
  <c r="AF64" s="1"/>
  <c r="AS43"/>
  <c r="AT43" s="1"/>
  <c r="DF44" i="11"/>
  <c r="AU49" i="23"/>
  <c r="AV49"/>
  <c r="DG44" i="11"/>
  <c r="DF25"/>
  <c r="AU30" i="23"/>
  <c r="AV30"/>
  <c r="DH25" i="11" s="1"/>
  <c r="DG25"/>
  <c r="DH23"/>
  <c r="AS56" i="23"/>
  <c r="AT56" s="1"/>
  <c r="AR59"/>
  <c r="DF45" i="11"/>
  <c r="AU50" i="23"/>
  <c r="AV50"/>
  <c r="DH45" i="11" s="1"/>
  <c r="DG45"/>
  <c r="DF15"/>
  <c r="DG15"/>
  <c r="AV20" i="23"/>
  <c r="DH15" i="11" s="1"/>
  <c r="AU20" i="23"/>
  <c r="DH7" i="11"/>
  <c r="AR61" i="23"/>
  <c r="DF34" i="11"/>
  <c r="AU39" i="23"/>
  <c r="AV39"/>
  <c r="DH34" i="11" s="1"/>
  <c r="DG34"/>
  <c r="DF26"/>
  <c r="AU31" i="23"/>
  <c r="AV31"/>
  <c r="DH26" i="11" s="1"/>
  <c r="DG26"/>
  <c r="AR55" i="23"/>
  <c r="AS53"/>
  <c r="AT53" s="1"/>
  <c r="AR47"/>
  <c r="AR41"/>
  <c r="BF73" i="11" s="1"/>
  <c r="BF74" s="1"/>
  <c r="DF14"/>
  <c r="DG14"/>
  <c r="AU19" i="23"/>
  <c r="AV19"/>
  <c r="DH14" i="11" s="1"/>
  <c r="AS58" i="23"/>
  <c r="AT58" s="1"/>
  <c r="DF30" i="11"/>
  <c r="DG30"/>
  <c r="AU35" i="23"/>
  <c r="AV35"/>
  <c r="DH30" i="11" s="1"/>
  <c r="DF64"/>
  <c r="AV69" i="23"/>
  <c r="DH64" i="11" s="1"/>
  <c r="AU69" i="23"/>
  <c r="DG64" i="11"/>
  <c r="DF11"/>
  <c r="AU16" i="23"/>
  <c r="DG11" i="11"/>
  <c r="AV16" i="23"/>
  <c r="BS59" i="11"/>
  <c r="CT59"/>
  <c r="BK58"/>
  <c r="AU54" i="23" l="1"/>
  <c r="AS70"/>
  <c r="AT70" s="1"/>
  <c r="AT76"/>
  <c r="DG71" i="11" s="1"/>
  <c r="DF52"/>
  <c r="AT57" i="23"/>
  <c r="DG52" i="11" s="1"/>
  <c r="AR51" i="23"/>
  <c r="AS51" s="1"/>
  <c r="AT51" s="1"/>
  <c r="AV45"/>
  <c r="DH40" i="11" s="1"/>
  <c r="AU45" i="23"/>
  <c r="DG40" i="11"/>
  <c r="DF40"/>
  <c r="AV76" i="23"/>
  <c r="DH71" i="11" s="1"/>
  <c r="DF71"/>
  <c r="AV10" i="23"/>
  <c r="DG20" i="11"/>
  <c r="DF20"/>
  <c r="AV25" i="23"/>
  <c r="DH20" i="11" s="1"/>
  <c r="AU25" i="23"/>
  <c r="AU57"/>
  <c r="AV57"/>
  <c r="DH52" i="11" s="1"/>
  <c r="AU65" i="23"/>
  <c r="DG60" i="11"/>
  <c r="DF60"/>
  <c r="AV65" i="23"/>
  <c r="DH60" i="11" s="1"/>
  <c r="AS63" i="23"/>
  <c r="DF57" i="11"/>
  <c r="AV62" i="23"/>
  <c r="DH57" i="11" s="1"/>
  <c r="DG57"/>
  <c r="AU62" i="23"/>
  <c r="AS61"/>
  <c r="AS59"/>
  <c r="DF48" i="11"/>
  <c r="DG48"/>
  <c r="AV53" i="23"/>
  <c r="DH48" i="11" s="1"/>
  <c r="AU53" i="23"/>
  <c r="AS47"/>
  <c r="AT47" s="1"/>
  <c r="AU51"/>
  <c r="DG46" i="11"/>
  <c r="AV51" i="23"/>
  <c r="DH46" i="11" s="1"/>
  <c r="DH44"/>
  <c r="AS52" i="23"/>
  <c r="AT52" s="1"/>
  <c r="DH11" i="11"/>
  <c r="AV14" i="23"/>
  <c r="AV27"/>
  <c r="DF38" i="11"/>
  <c r="AV43" i="23"/>
  <c r="DG38" i="11"/>
  <c r="AU43" i="23"/>
  <c r="AR48"/>
  <c r="BE73" i="11" s="1"/>
  <c r="BE74" s="1"/>
  <c r="DF53"/>
  <c r="DG53"/>
  <c r="AV58" i="23"/>
  <c r="DH53" i="11" s="1"/>
  <c r="AU58" i="23"/>
  <c r="DF51" i="11"/>
  <c r="DG51"/>
  <c r="AU56" i="23"/>
  <c r="AV56"/>
  <c r="DH51" i="11" s="1"/>
  <c r="DH73"/>
  <c r="AV77" i="23"/>
  <c r="B63" i="2"/>
  <c r="AF63" s="1"/>
  <c r="B63" i="23"/>
  <c r="AF63" s="1"/>
  <c r="AS55"/>
  <c r="AT55" s="1"/>
  <c r="DF65" i="11"/>
  <c r="DG65"/>
  <c r="BK57"/>
  <c r="CT58"/>
  <c r="BS58"/>
  <c r="G5" i="2"/>
  <c r="DF46" i="11" l="1"/>
  <c r="AV70" i="23"/>
  <c r="DH65" i="11" s="1"/>
  <c r="AU70" i="23"/>
  <c r="DF58" i="11"/>
  <c r="AT63" i="23"/>
  <c r="DG58" i="11" s="1"/>
  <c r="AT61" i="23"/>
  <c r="DG56" i="11" s="1"/>
  <c r="AU59" i="23"/>
  <c r="AT59"/>
  <c r="AV73"/>
  <c r="AU63"/>
  <c r="AV61"/>
  <c r="DH56" i="11" s="1"/>
  <c r="DF56"/>
  <c r="AV63" i="23"/>
  <c r="DH58" i="11" s="1"/>
  <c r="AU61" i="23"/>
  <c r="AV59"/>
  <c r="DH54" i="11" s="1"/>
  <c r="DG54"/>
  <c r="DF54"/>
  <c r="B62" i="2"/>
  <c r="AF62" s="1"/>
  <c r="B62" i="23"/>
  <c r="AF62" s="1"/>
  <c r="DF47" i="11"/>
  <c r="AV52" i="23"/>
  <c r="DG47" i="11"/>
  <c r="AU52" i="23"/>
  <c r="DF50" i="11"/>
  <c r="DG50"/>
  <c r="AV55" i="23"/>
  <c r="DH50" i="11" s="1"/>
  <c r="AU55" i="23"/>
  <c r="DH38" i="11"/>
  <c r="DF42"/>
  <c r="AU47" i="23"/>
  <c r="AV47"/>
  <c r="DH42" i="11" s="1"/>
  <c r="DG42"/>
  <c r="BK56"/>
  <c r="CT57"/>
  <c r="BS57"/>
  <c r="AV66" i="23" l="1"/>
  <c r="AV41"/>
  <c r="DH47" i="11"/>
  <c r="AV48" i="23"/>
  <c r="B61" i="2"/>
  <c r="AF61" s="1"/>
  <c r="B61" i="23"/>
  <c r="AF61" s="1"/>
  <c r="BK55" i="11"/>
  <c r="CT56"/>
  <c r="BS56"/>
  <c r="E6" i="2"/>
  <c r="B60" l="1"/>
  <c r="AF60" s="1"/>
  <c r="B60" i="23"/>
  <c r="AF60" s="1"/>
  <c r="BK54" i="11"/>
  <c r="CT55"/>
  <c r="BS55"/>
  <c r="B59" i="2" l="1"/>
  <c r="AF59" s="1"/>
  <c r="B59" i="23"/>
  <c r="AF59" s="1"/>
  <c r="BK53" i="11"/>
  <c r="CT54"/>
  <c r="BS54"/>
  <c r="B58" i="2" l="1"/>
  <c r="AF58" s="1"/>
  <c r="B58" i="23"/>
  <c r="AF58" s="1"/>
  <c r="BK52" i="11"/>
  <c r="BS53"/>
  <c r="CT53"/>
  <c r="F6" i="2"/>
  <c r="G6" s="1"/>
  <c r="H6" s="1"/>
  <c r="J6" s="1"/>
  <c r="I6" s="1"/>
  <c r="B57" l="1"/>
  <c r="AF57" s="1"/>
  <c r="B57" i="23"/>
  <c r="AF57" s="1"/>
  <c r="BK51" i="11"/>
  <c r="BS52"/>
  <c r="CT52"/>
  <c r="AL74" i="2"/>
  <c r="U75"/>
  <c r="W75" s="1"/>
  <c r="B56" l="1"/>
  <c r="AF56" s="1"/>
  <c r="B56" i="23"/>
  <c r="AF56" s="1"/>
  <c r="BK50" i="11"/>
  <c r="CT51"/>
  <c r="BS51"/>
  <c r="AL76" i="2"/>
  <c r="AL12"/>
  <c r="AL78"/>
  <c r="AL79"/>
  <c r="AL75"/>
  <c r="AL13"/>
  <c r="U74"/>
  <c r="W74" s="1"/>
  <c r="G74"/>
  <c r="H74" s="1"/>
  <c r="BY69" i="11" s="1"/>
  <c r="U13" i="2"/>
  <c r="W13" s="1"/>
  <c r="U12"/>
  <c r="W12" s="1"/>
  <c r="G13"/>
  <c r="H13" s="1"/>
  <c r="BY8" i="11" s="1"/>
  <c r="G75" i="2"/>
  <c r="I75" s="1"/>
  <c r="G12"/>
  <c r="I12" s="1"/>
  <c r="B55" l="1"/>
  <c r="AF55" s="1"/>
  <c r="B55" i="23"/>
  <c r="AF55" s="1"/>
  <c r="BK49" i="11"/>
  <c r="CT50"/>
  <c r="BS50"/>
  <c r="I74" i="2"/>
  <c r="J74"/>
  <c r="J13"/>
  <c r="J12"/>
  <c r="H12"/>
  <c r="BY7" i="11" s="1"/>
  <c r="H75" i="2"/>
  <c r="BY70" i="11" s="1"/>
  <c r="BY41"/>
  <c r="I13" i="2"/>
  <c r="BY40" i="11"/>
  <c r="J75" i="2"/>
  <c r="BY42" i="11"/>
  <c r="U79" i="2"/>
  <c r="B54" l="1"/>
  <c r="AF54" s="1"/>
  <c r="B54" i="23"/>
  <c r="AF54" s="1"/>
  <c r="BK48" i="11"/>
  <c r="CT49"/>
  <c r="BS49"/>
  <c r="X74" i="2"/>
  <c r="X75"/>
  <c r="X12"/>
  <c r="X13"/>
  <c r="W79"/>
  <c r="U6"/>
  <c r="W6" s="1"/>
  <c r="X6" s="1"/>
  <c r="B53" l="1"/>
  <c r="AF53" s="1"/>
  <c r="B53" i="23"/>
  <c r="AF53" s="1"/>
  <c r="BK47" i="11"/>
  <c r="CT48"/>
  <c r="BS48"/>
  <c r="B52" i="2" l="1"/>
  <c r="AF52" s="1"/>
  <c r="B52" i="23"/>
  <c r="AF52" s="1"/>
  <c r="BK46" i="11"/>
  <c r="BS47"/>
  <c r="CT47"/>
  <c r="B51" i="2" l="1"/>
  <c r="AF51" s="1"/>
  <c r="B51" i="23"/>
  <c r="AF51" s="1"/>
  <c r="BK45" i="11"/>
  <c r="CT46"/>
  <c r="BS46"/>
  <c r="U5" i="2"/>
  <c r="W5" s="1"/>
  <c r="T5"/>
  <c r="B50" l="1"/>
  <c r="AF50" s="1"/>
  <c r="B50" i="23"/>
  <c r="AF50" s="1"/>
  <c r="AM65" i="2"/>
  <c r="AM67"/>
  <c r="AM16"/>
  <c r="AM64"/>
  <c r="AM68"/>
  <c r="AM29"/>
  <c r="AM25"/>
  <c r="AM39"/>
  <c r="AM26"/>
  <c r="AM54"/>
  <c r="AM55"/>
  <c r="AM69"/>
  <c r="AM40"/>
  <c r="AM33"/>
  <c r="AM53"/>
  <c r="AM70"/>
  <c r="AM17"/>
  <c r="AM51"/>
  <c r="AM36"/>
  <c r="AM35"/>
  <c r="AM60"/>
  <c r="AM57"/>
  <c r="AM37"/>
  <c r="AM43"/>
  <c r="AM45"/>
  <c r="AM32"/>
  <c r="AM72"/>
  <c r="AM50"/>
  <c r="AM22"/>
  <c r="AM62"/>
  <c r="AM59"/>
  <c r="AM34"/>
  <c r="AM58"/>
  <c r="AM56"/>
  <c r="AM63"/>
  <c r="AM21"/>
  <c r="AM23"/>
  <c r="AM30"/>
  <c r="AM44"/>
  <c r="AM28"/>
  <c r="AM71"/>
  <c r="AM31"/>
  <c r="AM18"/>
  <c r="AM24"/>
  <c r="AM47"/>
  <c r="AM20"/>
  <c r="AM52"/>
  <c r="AM49"/>
  <c r="AM61"/>
  <c r="AM19"/>
  <c r="AM38"/>
  <c r="AM46"/>
  <c r="BK44" i="11"/>
  <c r="CT45"/>
  <c r="BS45"/>
  <c r="Y5" i="2"/>
  <c r="Z5" s="1"/>
  <c r="G76"/>
  <c r="J76" s="1"/>
  <c r="G79"/>
  <c r="H79" s="1"/>
  <c r="BY74" i="11" s="1"/>
  <c r="U78" i="2"/>
  <c r="W78" s="1"/>
  <c r="G78"/>
  <c r="I78" s="1"/>
  <c r="B49" l="1"/>
  <c r="AF49" s="1"/>
  <c r="B49" i="23"/>
  <c r="AF49" s="1"/>
  <c r="AO38" i="2"/>
  <c r="AP38" s="1"/>
  <c r="AQ38" s="1"/>
  <c r="AO18"/>
  <c r="AP18" s="1"/>
  <c r="AQ18" s="1"/>
  <c r="AO20"/>
  <c r="AP20" s="1"/>
  <c r="AQ20" s="1"/>
  <c r="AO61"/>
  <c r="AO71"/>
  <c r="AP71" s="1"/>
  <c r="AQ71" s="1"/>
  <c r="AO46"/>
  <c r="AO49"/>
  <c r="AP49" s="1"/>
  <c r="AQ49" s="1"/>
  <c r="AO24"/>
  <c r="AO28"/>
  <c r="AP28" s="1"/>
  <c r="AQ28" s="1"/>
  <c r="AO21"/>
  <c r="AO34"/>
  <c r="AP34" s="1"/>
  <c r="AQ34" s="1"/>
  <c r="AO50"/>
  <c r="AP50" s="1"/>
  <c r="AQ50" s="1"/>
  <c r="AO43"/>
  <c r="AP43" s="1"/>
  <c r="AQ43" s="1"/>
  <c r="AO35"/>
  <c r="AP35" s="1"/>
  <c r="AQ35" s="1"/>
  <c r="AO70"/>
  <c r="AP70" s="1"/>
  <c r="AQ70" s="1"/>
  <c r="AO69"/>
  <c r="AO39"/>
  <c r="AP39" s="1"/>
  <c r="AQ39" s="1"/>
  <c r="AO64"/>
  <c r="AO44"/>
  <c r="AO63"/>
  <c r="AP63" s="1"/>
  <c r="AQ63" s="1"/>
  <c r="AO59"/>
  <c r="AP59" s="1"/>
  <c r="AQ59" s="1"/>
  <c r="AO72"/>
  <c r="AO37"/>
  <c r="AO36"/>
  <c r="AO53"/>
  <c r="AP53" s="1"/>
  <c r="AQ53" s="1"/>
  <c r="AO55"/>
  <c r="AO25"/>
  <c r="AO16"/>
  <c r="AP16" s="1"/>
  <c r="AQ16" s="1"/>
  <c r="AO19"/>
  <c r="AP19" s="1"/>
  <c r="AQ19" s="1"/>
  <c r="AO31"/>
  <c r="AP31" s="1"/>
  <c r="AQ31" s="1"/>
  <c r="AO30"/>
  <c r="AO56"/>
  <c r="AO62"/>
  <c r="AP62" s="1"/>
  <c r="AQ62" s="1"/>
  <c r="AO32"/>
  <c r="AP32" s="1"/>
  <c r="AQ32" s="1"/>
  <c r="AO57"/>
  <c r="AO51"/>
  <c r="AO33"/>
  <c r="AP33" s="1"/>
  <c r="AQ33" s="1"/>
  <c r="AO54"/>
  <c r="AP54" s="1"/>
  <c r="AQ54" s="1"/>
  <c r="AO29"/>
  <c r="AO67"/>
  <c r="AP67" s="1"/>
  <c r="AQ67" s="1"/>
  <c r="AO52"/>
  <c r="AP52" s="1"/>
  <c r="AQ52" s="1"/>
  <c r="AO47"/>
  <c r="AO23"/>
  <c r="AO58"/>
  <c r="AP58" s="1"/>
  <c r="AQ58" s="1"/>
  <c r="AO22"/>
  <c r="AP22" s="1"/>
  <c r="AQ22" s="1"/>
  <c r="AO45"/>
  <c r="AO60"/>
  <c r="AP60" s="1"/>
  <c r="AQ60" s="1"/>
  <c r="AO17"/>
  <c r="AO40"/>
  <c r="AP40" s="1"/>
  <c r="AQ40" s="1"/>
  <c r="AO26"/>
  <c r="AP26" s="1"/>
  <c r="AQ26" s="1"/>
  <c r="AO68"/>
  <c r="AO65"/>
  <c r="AP65" s="1"/>
  <c r="AQ65" s="1"/>
  <c r="AR71"/>
  <c r="AR28"/>
  <c r="AR34"/>
  <c r="AR43"/>
  <c r="AR35"/>
  <c r="AR38"/>
  <c r="AR59"/>
  <c r="AR52"/>
  <c r="AR20"/>
  <c r="AR33"/>
  <c r="AR22"/>
  <c r="CT44" i="11"/>
  <c r="BS44"/>
  <c r="BK42"/>
  <c r="U76" i="2"/>
  <c r="W76" s="1"/>
  <c r="X76" s="1"/>
  <c r="K74"/>
  <c r="BZ69" i="11" s="1"/>
  <c r="K6" i="2"/>
  <c r="K12"/>
  <c r="BZ7" i="11" s="1"/>
  <c r="BZ42"/>
  <c r="BZ41"/>
  <c r="BZ40"/>
  <c r="K13" i="2"/>
  <c r="BZ8" i="11" s="1"/>
  <c r="K75" i="2"/>
  <c r="BZ70" i="11" s="1"/>
  <c r="K76" i="2"/>
  <c r="BZ71" i="11" s="1"/>
  <c r="I76" i="2"/>
  <c r="H76"/>
  <c r="BY71" i="11" s="1"/>
  <c r="I79" i="2"/>
  <c r="J78"/>
  <c r="H78"/>
  <c r="BY73" i="11" s="1"/>
  <c r="J79" i="2"/>
  <c r="K78"/>
  <c r="BZ73" i="11" s="1"/>
  <c r="AR39" i="2" l="1"/>
  <c r="AR40"/>
  <c r="AR19"/>
  <c r="AP68"/>
  <c r="AQ68" s="1"/>
  <c r="AP23"/>
  <c r="AQ23" s="1"/>
  <c r="AR29"/>
  <c r="AP29"/>
  <c r="AQ29" s="1"/>
  <c r="AP57"/>
  <c r="AQ57" s="1"/>
  <c r="AR30"/>
  <c r="AP30"/>
  <c r="AQ30" s="1"/>
  <c r="AP25"/>
  <c r="AQ25" s="1"/>
  <c r="AP37"/>
  <c r="AQ37" s="1"/>
  <c r="AP44"/>
  <c r="AQ44" s="1"/>
  <c r="AP17"/>
  <c r="AQ17" s="1"/>
  <c r="AP51"/>
  <c r="AQ51" s="1"/>
  <c r="AP56"/>
  <c r="AQ56" s="1"/>
  <c r="AP36"/>
  <c r="AQ36" s="1"/>
  <c r="AP69"/>
  <c r="AQ69" s="1"/>
  <c r="AP24"/>
  <c r="AQ24" s="1"/>
  <c r="AP61"/>
  <c r="AQ61" s="1"/>
  <c r="AP45"/>
  <c r="AQ45" s="1"/>
  <c r="AP47"/>
  <c r="AQ47" s="1"/>
  <c r="AP55"/>
  <c r="AQ55" s="1"/>
  <c r="AP72"/>
  <c r="AQ72" s="1"/>
  <c r="AP64"/>
  <c r="AQ64" s="1"/>
  <c r="AP21"/>
  <c r="AQ21" s="1"/>
  <c r="AP46"/>
  <c r="AQ46" s="1"/>
  <c r="AR62"/>
  <c r="AR53"/>
  <c r="AS53" s="1"/>
  <c r="AR49"/>
  <c r="AR63"/>
  <c r="AS63" s="1"/>
  <c r="AR67"/>
  <c r="AS67" s="1"/>
  <c r="AS30"/>
  <c r="AR60"/>
  <c r="AS60" s="1"/>
  <c r="AR50"/>
  <c r="AS50" s="1"/>
  <c r="AT50" s="1"/>
  <c r="AR65"/>
  <c r="AS65" s="1"/>
  <c r="AT65" s="1"/>
  <c r="AR58"/>
  <c r="AS58" s="1"/>
  <c r="AR16"/>
  <c r="AS16" s="1"/>
  <c r="AT16" s="1"/>
  <c r="AR26"/>
  <c r="AS26" s="1"/>
  <c r="AR70"/>
  <c r="AS70" s="1"/>
  <c r="AT70" s="1"/>
  <c r="AR54"/>
  <c r="AS54" s="1"/>
  <c r="AT54" s="1"/>
  <c r="AR32"/>
  <c r="AS32" s="1"/>
  <c r="AT32" s="1"/>
  <c r="AR31"/>
  <c r="AS31" s="1"/>
  <c r="AT31" s="1"/>
  <c r="AR18"/>
  <c r="AS18" s="1"/>
  <c r="AT18" s="1"/>
  <c r="B47"/>
  <c r="AF47" s="1"/>
  <c r="B47" i="23"/>
  <c r="AF47" s="1"/>
  <c r="AS40" i="2"/>
  <c r="AT40" s="1"/>
  <c r="AS71"/>
  <c r="AT71" s="1"/>
  <c r="AS29"/>
  <c r="AS33"/>
  <c r="AS62"/>
  <c r="AT62" s="1"/>
  <c r="AS20"/>
  <c r="AT20" s="1"/>
  <c r="AS52"/>
  <c r="AT52" s="1"/>
  <c r="AS59"/>
  <c r="AT59" s="1"/>
  <c r="AS38"/>
  <c r="AS43"/>
  <c r="AS28"/>
  <c r="AT28" s="1"/>
  <c r="AS49"/>
  <c r="AT49" s="1"/>
  <c r="AS39"/>
  <c r="AT39" s="1"/>
  <c r="AS34"/>
  <c r="AT34" s="1"/>
  <c r="AS22"/>
  <c r="AT22" s="1"/>
  <c r="AS19"/>
  <c r="AT19" s="1"/>
  <c r="AS35"/>
  <c r="AT35" s="1"/>
  <c r="CT42" i="11"/>
  <c r="BS42"/>
  <c r="BK41"/>
  <c r="X79" i="2"/>
  <c r="X78"/>
  <c r="AR68" l="1"/>
  <c r="AS68" s="1"/>
  <c r="AR46"/>
  <c r="AS46" s="1"/>
  <c r="AR64"/>
  <c r="AS64" s="1"/>
  <c r="AT64" s="1"/>
  <c r="AR55"/>
  <c r="AS55" s="1"/>
  <c r="AR45"/>
  <c r="AS45" s="1"/>
  <c r="AT45" s="1"/>
  <c r="AR24"/>
  <c r="AS24" s="1"/>
  <c r="AT24" s="1"/>
  <c r="AR36"/>
  <c r="AS36" s="1"/>
  <c r="AT36" s="1"/>
  <c r="AR51"/>
  <c r="AS51" s="1"/>
  <c r="AR44"/>
  <c r="AS44" s="1"/>
  <c r="AT44" s="1"/>
  <c r="AR25"/>
  <c r="AS25" s="1"/>
  <c r="AR57"/>
  <c r="AS57" s="1"/>
  <c r="AT57" s="1"/>
  <c r="AR23"/>
  <c r="AS23" s="1"/>
  <c r="AT23" s="1"/>
  <c r="CF18" i="11" s="1"/>
  <c r="AR21" i="2"/>
  <c r="AS21" s="1"/>
  <c r="AT21" s="1"/>
  <c r="AR72"/>
  <c r="AS72" s="1"/>
  <c r="AV72" s="1"/>
  <c r="CG67" i="11" s="1"/>
  <c r="AR47" i="2"/>
  <c r="AS47" s="1"/>
  <c r="AT47" s="1"/>
  <c r="AR61"/>
  <c r="AS61" s="1"/>
  <c r="AT61" s="1"/>
  <c r="AR69"/>
  <c r="AS69" s="1"/>
  <c r="AT69" s="1"/>
  <c r="CF64" i="11" s="1"/>
  <c r="AR56" i="2"/>
  <c r="AS56" s="1"/>
  <c r="CE51" i="11" s="1"/>
  <c r="AR17" i="2"/>
  <c r="AS17" s="1"/>
  <c r="AT17" s="1"/>
  <c r="AR37"/>
  <c r="AS37" s="1"/>
  <c r="AT37" s="1"/>
  <c r="AU55"/>
  <c r="AT55"/>
  <c r="AU53"/>
  <c r="AT53"/>
  <c r="AU46"/>
  <c r="AT46"/>
  <c r="AV23"/>
  <c r="CG18" i="11" s="1"/>
  <c r="CE46"/>
  <c r="AT51" i="2"/>
  <c r="AU26"/>
  <c r="AT26"/>
  <c r="AV30"/>
  <c r="CG25" i="11" s="1"/>
  <c r="AT30" i="2"/>
  <c r="AV43"/>
  <c r="AT43"/>
  <c r="AU38"/>
  <c r="AT38"/>
  <c r="AV29"/>
  <c r="CG24" i="11" s="1"/>
  <c r="AT29" i="2"/>
  <c r="CF24" i="11" s="1"/>
  <c r="AU25" i="2"/>
  <c r="AT25"/>
  <c r="CE55" i="11"/>
  <c r="AT60" i="2"/>
  <c r="AV33"/>
  <c r="CG28" i="11" s="1"/>
  <c r="AT33" i="2"/>
  <c r="CF28" i="11" s="1"/>
  <c r="AV57" i="2"/>
  <c r="CG52" i="11" s="1"/>
  <c r="AU58" i="2"/>
  <c r="AT58"/>
  <c r="AV63"/>
  <c r="CG58" i="11" s="1"/>
  <c r="AT63" i="2"/>
  <c r="CE67" i="11"/>
  <c r="AT72" i="2"/>
  <c r="CF67" i="11" s="1"/>
  <c r="AU67" i="2"/>
  <c r="AT67"/>
  <c r="CE63" i="11"/>
  <c r="AT68" i="2"/>
  <c r="CF63" i="11" s="1"/>
  <c r="CE64"/>
  <c r="CE45"/>
  <c r="AU50" i="2"/>
  <c r="AU72"/>
  <c r="AU23"/>
  <c r="AV44"/>
  <c r="AU44"/>
  <c r="AV64"/>
  <c r="CG59" i="11" s="1"/>
  <c r="CE11"/>
  <c r="AU16" i="2"/>
  <c r="AV16"/>
  <c r="CG11" i="11" s="1"/>
  <c r="AV61" i="2"/>
  <c r="CG56" i="11" s="1"/>
  <c r="AU61" i="2"/>
  <c r="AV50"/>
  <c r="CG45" i="11" s="1"/>
  <c r="AU63" i="2"/>
  <c r="AV55"/>
  <c r="CG50" i="11" s="1"/>
  <c r="AU40" i="2"/>
  <c r="CE50" i="11"/>
  <c r="AU59" i="2"/>
  <c r="AV60"/>
  <c r="CG55" i="11" s="1"/>
  <c r="AV46" i="2"/>
  <c r="CE35" i="11"/>
  <c r="CE62"/>
  <c r="AU65" i="2"/>
  <c r="CE27" i="11"/>
  <c r="AU32" i="2"/>
  <c r="AV40"/>
  <c r="CG35" i="11" s="1"/>
  <c r="CF20"/>
  <c r="CF46"/>
  <c r="AU29" i="2"/>
  <c r="AU51"/>
  <c r="AU28"/>
  <c r="AV25"/>
  <c r="CG20" i="11" s="1"/>
  <c r="AU71" i="2"/>
  <c r="AV68"/>
  <c r="CG63" i="11" s="1"/>
  <c r="AV51" i="2"/>
  <c r="CG46" i="11" s="1"/>
  <c r="CF25"/>
  <c r="AV71" i="2"/>
  <c r="CG66" i="11" s="1"/>
  <c r="CF27"/>
  <c r="AU68" i="2"/>
  <c r="AU30"/>
  <c r="AV32"/>
  <c r="CG27" i="11" s="1"/>
  <c r="CE49"/>
  <c r="AV54" i="2"/>
  <c r="CG49" i="11" s="1"/>
  <c r="CF49"/>
  <c r="AU54" i="2"/>
  <c r="AV70"/>
  <c r="CG65" i="11" s="1"/>
  <c r="CF65"/>
  <c r="AU70" i="2"/>
  <c r="CE18" i="11"/>
  <c r="AV21" i="2"/>
  <c r="CG16" i="11" s="1"/>
  <c r="AU57" i="2"/>
  <c r="CF55" i="11"/>
  <c r="CE16"/>
  <c r="AU60" i="2"/>
  <c r="CE13" i="11"/>
  <c r="AU18" i="2"/>
  <c r="CF13" i="11"/>
  <c r="AV18" i="2"/>
  <c r="CG13" i="11" s="1"/>
  <c r="CE26"/>
  <c r="AU31" i="2"/>
  <c r="AV31"/>
  <c r="CG26" i="11" s="1"/>
  <c r="CF26"/>
  <c r="AU64" i="2"/>
  <c r="AU21"/>
  <c r="AU33"/>
  <c r="AV67"/>
  <c r="CG62" i="11" s="1"/>
  <c r="CF48"/>
  <c r="AU20" i="2"/>
  <c r="CE59" i="11"/>
  <c r="AV53" i="2"/>
  <c r="CG48" i="11" s="1"/>
  <c r="AV20" i="2"/>
  <c r="CG15" i="11" s="1"/>
  <c r="AV65" i="2"/>
  <c r="CG60" i="11" s="1"/>
  <c r="B46" i="2"/>
  <c r="AF46" s="1"/>
  <c r="B46" i="23"/>
  <c r="AF46" s="1"/>
  <c r="CF15" i="11"/>
  <c r="CF60"/>
  <c r="CF11"/>
  <c r="CF59"/>
  <c r="CE30"/>
  <c r="CF16"/>
  <c r="CF45"/>
  <c r="CE31"/>
  <c r="CE14"/>
  <c r="AU43" i="2"/>
  <c r="CE32" i="11"/>
  <c r="CE23"/>
  <c r="CE54"/>
  <c r="CE58"/>
  <c r="CE52"/>
  <c r="CE21"/>
  <c r="CE19"/>
  <c r="CF23"/>
  <c r="CF47"/>
  <c r="CF66"/>
  <c r="CF62"/>
  <c r="CE48"/>
  <c r="CE15"/>
  <c r="CE28"/>
  <c r="CE60"/>
  <c r="CF54"/>
  <c r="CF57"/>
  <c r="CE29"/>
  <c r="CE65"/>
  <c r="CE20"/>
  <c r="CE25"/>
  <c r="CE24"/>
  <c r="CE66"/>
  <c r="CF50"/>
  <c r="CE17"/>
  <c r="CF56"/>
  <c r="CF35"/>
  <c r="CF44"/>
  <c r="CE34"/>
  <c r="CE12"/>
  <c r="CE44"/>
  <c r="CE33"/>
  <c r="CE47"/>
  <c r="CE57"/>
  <c r="CE53"/>
  <c r="CE56"/>
  <c r="AV58" i="2"/>
  <c r="CG53" i="11" s="1"/>
  <c r="AV28" i="2"/>
  <c r="CG23" i="11" s="1"/>
  <c r="AV59" i="2"/>
  <c r="CG54" i="11" s="1"/>
  <c r="AU49" i="2"/>
  <c r="AV38"/>
  <c r="CG33" i="11" s="1"/>
  <c r="AU52" i="2"/>
  <c r="AU62"/>
  <c r="AV26"/>
  <c r="CG21" i="11" s="1"/>
  <c r="AV49" i="2"/>
  <c r="CG44" i="11" s="1"/>
  <c r="AV52" i="2"/>
  <c r="CG47" i="11" s="1"/>
  <c r="AV62" i="2"/>
  <c r="CG57" i="11" s="1"/>
  <c r="AV36" i="2"/>
  <c r="CG31" i="11" s="1"/>
  <c r="AU36" i="2"/>
  <c r="AU39"/>
  <c r="AV39"/>
  <c r="CG34" i="11" s="1"/>
  <c r="AV17" i="2"/>
  <c r="CG12" i="11" s="1"/>
  <c r="AU17" i="2"/>
  <c r="AU19"/>
  <c r="AV19"/>
  <c r="CG14" i="11" s="1"/>
  <c r="AV37" i="2"/>
  <c r="CG32" i="11" s="1"/>
  <c r="AU37" i="2"/>
  <c r="AU24"/>
  <c r="AV24"/>
  <c r="CG19" i="11" s="1"/>
  <c r="AV22" i="2"/>
  <c r="CG17" i="11" s="1"/>
  <c r="AU22" i="2"/>
  <c r="AV47"/>
  <c r="AU47"/>
  <c r="AV35"/>
  <c r="CG30" i="11" s="1"/>
  <c r="AU35" i="2"/>
  <c r="AV34"/>
  <c r="CG29" i="11" s="1"/>
  <c r="AU34" i="2"/>
  <c r="AU45"/>
  <c r="AV45"/>
  <c r="CT41" i="11"/>
  <c r="BK40"/>
  <c r="BS41"/>
  <c r="H5" i="2"/>
  <c r="J5" s="1"/>
  <c r="AT56" l="1"/>
  <c r="CF51" i="11" s="1"/>
  <c r="AU56" i="2"/>
  <c r="AV56"/>
  <c r="CG51" i="11" s="1"/>
  <c r="AU69" i="2"/>
  <c r="AV69"/>
  <c r="CG64" i="11" s="1"/>
  <c r="B45" i="2"/>
  <c r="AF45" s="1"/>
  <c r="B45" i="23"/>
  <c r="AF45" s="1"/>
  <c r="CF33" i="11"/>
  <c r="CF32"/>
  <c r="CF58"/>
  <c r="CF12"/>
  <c r="CF34"/>
  <c r="CF17"/>
  <c r="CF53"/>
  <c r="CF52"/>
  <c r="CF30"/>
  <c r="CF19"/>
  <c r="CF31"/>
  <c r="CF21"/>
  <c r="CF29"/>
  <c r="CF14"/>
  <c r="CT40"/>
  <c r="BK39"/>
  <c r="BS40"/>
  <c r="I5" i="2"/>
  <c r="X5"/>
  <c r="O5" s="1"/>
  <c r="AC5"/>
  <c r="B44" l="1"/>
  <c r="AF44" s="1"/>
  <c r="B44" i="23"/>
  <c r="AF44" s="1"/>
  <c r="CT39" i="11"/>
  <c r="BK38"/>
  <c r="BS39"/>
  <c r="P5" i="2"/>
  <c r="S5"/>
  <c r="Q5"/>
  <c r="R5" s="1"/>
  <c r="AA5"/>
  <c r="AB5" s="1"/>
  <c r="N5" s="1"/>
  <c r="B43" l="1"/>
  <c r="AF43" s="1"/>
  <c r="B43" i="23"/>
  <c r="AF43" s="1"/>
  <c r="CT38" i="11"/>
  <c r="BK37"/>
  <c r="BS38"/>
  <c r="O79" i="2"/>
  <c r="L75"/>
  <c r="L12"/>
  <c r="L74"/>
  <c r="CA69" i="11" s="1"/>
  <c r="L76" i="2"/>
  <c r="L13"/>
  <c r="L78"/>
  <c r="T79"/>
  <c r="B42" l="1"/>
  <c r="AF42" s="1"/>
  <c r="B42" i="23"/>
  <c r="AF42" s="1"/>
  <c r="CT37" i="11"/>
  <c r="BK35"/>
  <c r="BS37"/>
  <c r="T12" i="2"/>
  <c r="Y12" s="1"/>
  <c r="CA7" i="11"/>
  <c r="T13" i="2"/>
  <c r="Y13" s="1"/>
  <c r="Z13" s="1"/>
  <c r="CA8" i="11"/>
  <c r="T78" i="2"/>
  <c r="Y78" s="1"/>
  <c r="CA73" i="11"/>
  <c r="CA42"/>
  <c r="CA41"/>
  <c r="T76" i="2"/>
  <c r="Y76" s="1"/>
  <c r="AC76" s="1"/>
  <c r="CA71" i="11"/>
  <c r="CA40"/>
  <c r="CA38"/>
  <c r="T75" i="2"/>
  <c r="Y75" s="1"/>
  <c r="CA70" i="11"/>
  <c r="CA39"/>
  <c r="Q79" i="2"/>
  <c r="R79" s="1"/>
  <c r="AN79" s="1"/>
  <c r="O74"/>
  <c r="S74" s="1"/>
  <c r="O12"/>
  <c r="O75"/>
  <c r="S75" s="1"/>
  <c r="O78"/>
  <c r="O76"/>
  <c r="O13"/>
  <c r="Y79"/>
  <c r="T6"/>
  <c r="Y6" s="1"/>
  <c r="T74"/>
  <c r="S79"/>
  <c r="CC74" i="11" s="1"/>
  <c r="O6" i="2"/>
  <c r="AA6" s="1"/>
  <c r="AB6" s="1"/>
  <c r="AA79"/>
  <c r="AB79" s="1"/>
  <c r="N79" s="1"/>
  <c r="N6" s="1"/>
  <c r="B40" l="1"/>
  <c r="AF40" s="1"/>
  <c r="B40" i="23"/>
  <c r="AF40" s="1"/>
  <c r="CC69" i="11"/>
  <c r="CC70"/>
  <c r="CT35"/>
  <c r="BS35"/>
  <c r="BK34"/>
  <c r="AC13" i="2"/>
  <c r="P13" s="1"/>
  <c r="Z76"/>
  <c r="Q13"/>
  <c r="AM79"/>
  <c r="CD74" i="11"/>
  <c r="R6" i="2"/>
  <c r="Q6"/>
  <c r="S13"/>
  <c r="Z79"/>
  <c r="AC79"/>
  <c r="P79" s="1"/>
  <c r="P6" s="1"/>
  <c r="P76"/>
  <c r="AA76"/>
  <c r="AB76" s="1"/>
  <c r="N76" s="1"/>
  <c r="AA78"/>
  <c r="AB78" s="1"/>
  <c r="N78" s="1"/>
  <c r="AA12"/>
  <c r="AB12" s="1"/>
  <c r="N12" s="1"/>
  <c r="Z75"/>
  <c r="AC75"/>
  <c r="P75" s="1"/>
  <c r="S76"/>
  <c r="S78"/>
  <c r="CD39" i="11"/>
  <c r="AA75" i="2"/>
  <c r="AB75" s="1"/>
  <c r="N75" s="1"/>
  <c r="S12"/>
  <c r="AA74"/>
  <c r="AB74" s="1"/>
  <c r="N74" s="1"/>
  <c r="Q78"/>
  <c r="Q12"/>
  <c r="CD38" i="11"/>
  <c r="S6" i="2"/>
  <c r="Y74"/>
  <c r="Q74"/>
  <c r="AC6"/>
  <c r="Z6"/>
  <c r="AA13"/>
  <c r="AB13" s="1"/>
  <c r="N13" s="1"/>
  <c r="Q76"/>
  <c r="Q75"/>
  <c r="AC78"/>
  <c r="P78" s="1"/>
  <c r="Z78"/>
  <c r="Z12"/>
  <c r="AC12"/>
  <c r="P12" s="1"/>
  <c r="B39" l="1"/>
  <c r="AF39" s="1"/>
  <c r="B39" i="23"/>
  <c r="AF39" s="1"/>
  <c r="AO79" i="2"/>
  <c r="AP79" s="1"/>
  <c r="AQ79" s="1"/>
  <c r="CC73" i="11"/>
  <c r="CC71"/>
  <c r="CC7"/>
  <c r="CC8"/>
  <c r="CT34"/>
  <c r="BS34"/>
  <c r="BK33"/>
  <c r="R13" i="2"/>
  <c r="CD8" i="11" s="1"/>
  <c r="CD42"/>
  <c r="CD41"/>
  <c r="R78" i="2"/>
  <c r="CD73" i="11" s="1"/>
  <c r="Z74" i="2"/>
  <c r="AC74"/>
  <c r="P74" s="1"/>
  <c r="CD40" i="11"/>
  <c r="R75" i="2"/>
  <c r="CD70" i="11" s="1"/>
  <c r="R74" i="2"/>
  <c r="CD69" i="11" s="1"/>
  <c r="R76" i="2"/>
  <c r="CD71" i="11" s="1"/>
  <c r="R12" i="2"/>
  <c r="CD7" i="11" s="1"/>
  <c r="AR79" i="2" l="1"/>
  <c r="AS79" s="1"/>
  <c r="AV79" s="1"/>
  <c r="B38"/>
  <c r="AF38" s="1"/>
  <c r="B38" i="23"/>
  <c r="AF38" s="1"/>
  <c r="AM13" i="2"/>
  <c r="AN13"/>
  <c r="CT33" i="11"/>
  <c r="BS33"/>
  <c r="BK32"/>
  <c r="AN12" i="2"/>
  <c r="AM12"/>
  <c r="AN78"/>
  <c r="AM78"/>
  <c r="AN75"/>
  <c r="AM75"/>
  <c r="AN76"/>
  <c r="AM76"/>
  <c r="AN74"/>
  <c r="AM74"/>
  <c r="CE74" i="11" l="1"/>
  <c r="AU79" i="2"/>
  <c r="AT79"/>
  <c r="CF74" i="11" s="1"/>
  <c r="B37" i="2"/>
  <c r="AF37" s="1"/>
  <c r="B37" i="23"/>
  <c r="AF37" s="1"/>
  <c r="AO13" i="2"/>
  <c r="AP13" s="1"/>
  <c r="AQ13" s="1"/>
  <c r="CT32" i="11"/>
  <c r="BS32"/>
  <c r="BK31"/>
  <c r="CG74"/>
  <c r="AO74" i="2"/>
  <c r="AP74" s="1"/>
  <c r="AQ74" s="1"/>
  <c r="AO76"/>
  <c r="AP76" s="1"/>
  <c r="AQ76" s="1"/>
  <c r="AO75"/>
  <c r="AP75" s="1"/>
  <c r="AQ75" s="1"/>
  <c r="AO78"/>
  <c r="AP78" s="1"/>
  <c r="AQ78" s="1"/>
  <c r="AO12"/>
  <c r="AP12" s="1"/>
  <c r="AQ12" s="1"/>
  <c r="AR13" l="1"/>
  <c r="AS13" s="1"/>
  <c r="AU13" s="1"/>
  <c r="B36"/>
  <c r="AF36" s="1"/>
  <c r="B36" i="23"/>
  <c r="AF36" s="1"/>
  <c r="CT31" i="11"/>
  <c r="BS31"/>
  <c r="BK30"/>
  <c r="CE39"/>
  <c r="AR78" i="2"/>
  <c r="AS78" s="1"/>
  <c r="AR12"/>
  <c r="AR75"/>
  <c r="AS75" s="1"/>
  <c r="AR77"/>
  <c r="BB71" i="11" s="1"/>
  <c r="BB72" s="1"/>
  <c r="CE42"/>
  <c r="AR76" i="2"/>
  <c r="AS76" s="1"/>
  <c r="CF42" i="11"/>
  <c r="AR66" i="2"/>
  <c r="BD71" i="11" s="1"/>
  <c r="BD72" s="1"/>
  <c r="AR48" i="2"/>
  <c r="BE71" i="11" s="1"/>
  <c r="BE72" s="1"/>
  <c r="AR73" i="2"/>
  <c r="BC71" i="11" s="1"/>
  <c r="BC72" s="1"/>
  <c r="AR74" i="2"/>
  <c r="AS74" s="1"/>
  <c r="AR10"/>
  <c r="BI71" i="11" s="1"/>
  <c r="BI72" s="1"/>
  <c r="CG39"/>
  <c r="CF39"/>
  <c r="AR27" i="2"/>
  <c r="BG71" i="11" s="1"/>
  <c r="BG72" s="1"/>
  <c r="AT13" i="2" l="1"/>
  <c r="CF8" i="11" s="1"/>
  <c r="CE8"/>
  <c r="AV13" i="2"/>
  <c r="CG8" i="11" s="1"/>
  <c r="B35" i="2"/>
  <c r="AF35" s="1"/>
  <c r="B35" i="23"/>
  <c r="AF35" s="1"/>
  <c r="AV78" i="2"/>
  <c r="AV75"/>
  <c r="CG70" i="11" s="1"/>
  <c r="AV74" i="2"/>
  <c r="CG69" i="11" s="1"/>
  <c r="AV76" i="2"/>
  <c r="CT30" i="11"/>
  <c r="BS30"/>
  <c r="BK29"/>
  <c r="CE38"/>
  <c r="CE71"/>
  <c r="CE69"/>
  <c r="CE73"/>
  <c r="CG42"/>
  <c r="AU75" i="2"/>
  <c r="CE70" i="11"/>
  <c r="AR41" i="2"/>
  <c r="BF71" i="11" s="1"/>
  <c r="BF72" s="1"/>
  <c r="AR14" i="2"/>
  <c r="BH71" i="11" s="1"/>
  <c r="BH72" s="1"/>
  <c r="AT75" i="2"/>
  <c r="AS12"/>
  <c r="AU74"/>
  <c r="AT74"/>
  <c r="CG38" i="11"/>
  <c r="CF38"/>
  <c r="AU76" i="2"/>
  <c r="AT76"/>
  <c r="AU78"/>
  <c r="AT78"/>
  <c r="B34" l="1"/>
  <c r="AF34" s="1"/>
  <c r="B34" i="23"/>
  <c r="AF34" s="1"/>
  <c r="CF70" i="11"/>
  <c r="CF71"/>
  <c r="CF73"/>
  <c r="CF69"/>
  <c r="AV12" i="2"/>
  <c r="CG7" i="11" s="1"/>
  <c r="CT29"/>
  <c r="BS29"/>
  <c r="BK28"/>
  <c r="CE40"/>
  <c r="CG71"/>
  <c r="AV77" i="2"/>
  <c r="CG73" i="11"/>
  <c r="AV66" i="2"/>
  <c r="CE41" i="11"/>
  <c r="AT12" i="2"/>
  <c r="CE7" i="11"/>
  <c r="AV73" i="2"/>
  <c r="AV48"/>
  <c r="AV27"/>
  <c r="CF41" i="11"/>
  <c r="AU12" i="2"/>
  <c r="CF40" i="11"/>
  <c r="B33" i="2" l="1"/>
  <c r="AF33" s="1"/>
  <c r="B33" i="23"/>
  <c r="AF33" s="1"/>
  <c r="CF7" i="11"/>
  <c r="CT28"/>
  <c r="BS28"/>
  <c r="BK27"/>
  <c r="CG40"/>
  <c r="CG41"/>
  <c r="AV14" i="2"/>
  <c r="AV10"/>
  <c r="AV41"/>
  <c r="B32" l="1"/>
  <c r="AF32" s="1"/>
  <c r="B32" i="23"/>
  <c r="AF32" s="1"/>
  <c r="BS27" i="11"/>
  <c r="CT27"/>
  <c r="BK26"/>
  <c r="B31" i="2" l="1"/>
  <c r="AF31" s="1"/>
  <c r="B31" i="23"/>
  <c r="AF31" s="1"/>
  <c r="CT26" i="11"/>
  <c r="BS26"/>
  <c r="BK25"/>
  <c r="B30" i="2" l="1"/>
  <c r="AF30" s="1"/>
  <c r="B30" i="23"/>
  <c r="AF30" s="1"/>
  <c r="CT25" i="11"/>
  <c r="BS25"/>
  <c r="BK24"/>
  <c r="BK23"/>
  <c r="B28" i="2" l="1"/>
  <c r="AF28" s="1"/>
  <c r="B28" i="23"/>
  <c r="AF28" s="1"/>
  <c r="B29" i="2"/>
  <c r="AF29" s="1"/>
  <c r="B29" i="23"/>
  <c r="AF29" s="1"/>
  <c r="CT24" i="11"/>
  <c r="BS24"/>
  <c r="CT23"/>
  <c r="BS23"/>
  <c r="BK21"/>
  <c r="B26" i="2" l="1"/>
  <c r="AF26" s="1"/>
  <c r="B26" i="23"/>
  <c r="AF26" s="1"/>
  <c r="CT21" i="11"/>
  <c r="BS21"/>
  <c r="BK20"/>
  <c r="B25" i="2" l="1"/>
  <c r="AF25" s="1"/>
  <c r="B25" i="23"/>
  <c r="AF25" s="1"/>
  <c r="CT20" i="11"/>
  <c r="BS20"/>
  <c r="BK19"/>
  <c r="B24" i="2" l="1"/>
  <c r="AF24" s="1"/>
  <c r="B24" i="23"/>
  <c r="AF24" s="1"/>
  <c r="BK18" i="11"/>
  <c r="CT19"/>
  <c r="BS19"/>
  <c r="B23" i="2" l="1"/>
  <c r="AF23" s="1"/>
  <c r="B23" i="23"/>
  <c r="AF23" s="1"/>
  <c r="BK17" i="11"/>
  <c r="CT18"/>
  <c r="BS18"/>
  <c r="B22" i="2" l="1"/>
  <c r="AF22" s="1"/>
  <c r="B22" i="23"/>
  <c r="AF22" s="1"/>
  <c r="BK16" i="11"/>
  <c r="CT17"/>
  <c r="BS17"/>
  <c r="B21" i="2" l="1"/>
  <c r="AF21" s="1"/>
  <c r="B21" i="23"/>
  <c r="AF21" s="1"/>
  <c r="BK15" i="11"/>
  <c r="CT16"/>
  <c r="BS16"/>
  <c r="B20" i="2" l="1"/>
  <c r="AF20" s="1"/>
  <c r="B20" i="23"/>
  <c r="AF20" s="1"/>
  <c r="BK14" i="11"/>
  <c r="CT15"/>
  <c r="BS15"/>
  <c r="B19" i="2" l="1"/>
  <c r="AF19" s="1"/>
  <c r="B19" i="23"/>
  <c r="AF19" s="1"/>
  <c r="BK13" i="11"/>
  <c r="CT14"/>
  <c r="BS14"/>
  <c r="B18" i="2" l="1"/>
  <c r="AF18" s="1"/>
  <c r="B18" i="23"/>
  <c r="AF18" s="1"/>
  <c r="BK12" i="11"/>
  <c r="CT13"/>
  <c r="BS13"/>
  <c r="B17" i="2" l="1"/>
  <c r="AF17" s="1"/>
  <c r="B17" i="23"/>
  <c r="AF17" s="1"/>
  <c r="CT12" i="11"/>
  <c r="BS12"/>
  <c r="BK11"/>
  <c r="B16" i="2" l="1"/>
  <c r="AF16" s="1"/>
  <c r="B16" i="23"/>
  <c r="AF16" s="1"/>
  <c r="CT11" i="11"/>
  <c r="BS11"/>
  <c r="BK10"/>
  <c r="B15" i="2" l="1"/>
  <c r="AF15" s="1"/>
  <c r="B15" i="23"/>
  <c r="AF15" s="1"/>
  <c r="CT10" i="11"/>
  <c r="BS10"/>
  <c r="BK8"/>
  <c r="B13" i="23" s="1"/>
  <c r="AF13" s="1"/>
  <c r="CT8" i="11" l="1"/>
  <c r="BK7"/>
  <c r="B12" i="23" s="1"/>
  <c r="AF12" s="1"/>
  <c r="BS8" i="11"/>
  <c r="B13" i="2"/>
  <c r="AF13" s="1"/>
  <c r="CT7" i="11" l="1"/>
  <c r="BK6"/>
  <c r="B11" i="23" s="1"/>
  <c r="AF11" s="1"/>
  <c r="BS7" i="11"/>
  <c r="B12" i="2"/>
  <c r="AF12" s="1"/>
  <c r="CT6" i="11" l="1"/>
  <c r="B11" i="2"/>
  <c r="AF11" s="1"/>
  <c r="BS6" i="11"/>
</calcChain>
</file>

<file path=xl/sharedStrings.xml><?xml version="1.0" encoding="utf-8"?>
<sst xmlns="http://schemas.openxmlformats.org/spreadsheetml/2006/main" count="1837" uniqueCount="979">
  <si>
    <t>Project Name</t>
  </si>
  <si>
    <t>Floor-Floor Height (ft)</t>
  </si>
  <si>
    <t>Typical Floor Length (ft)</t>
  </si>
  <si>
    <t>Typical Floor Width (ft)</t>
  </si>
  <si>
    <t>Outdoor WB (F)</t>
  </si>
  <si>
    <t>Indoor DB (F)</t>
  </si>
  <si>
    <t>Indoor WB (F)</t>
  </si>
  <si>
    <t>Mixed Use High Rise (Description)</t>
  </si>
  <si>
    <t>SMMR</t>
  </si>
  <si>
    <t>WNTR</t>
  </si>
  <si>
    <t>USER  INPUT</t>
  </si>
  <si>
    <t>feet</t>
  </si>
  <si>
    <t>meters</t>
  </si>
  <si>
    <t>psi</t>
  </si>
  <si>
    <t>in.Hg</t>
  </si>
  <si>
    <t>K-Pa</t>
  </si>
  <si>
    <t>in.H2O</t>
  </si>
  <si>
    <t>DB</t>
  </si>
  <si>
    <t>WB</t>
  </si>
  <si>
    <t>lbs/ft3</t>
  </si>
  <si>
    <t>Envel Leakage Flow Coeff</t>
  </si>
  <si>
    <t>Area per Flr (ft2)</t>
  </si>
  <si>
    <t>Total Section Flr Area (ft2)</t>
  </si>
  <si>
    <t>Envelope Area per Flr (ft2)</t>
  </si>
  <si>
    <t>Totl Section Envel Area (ft2)</t>
  </si>
  <si>
    <t>ID No.</t>
  </si>
  <si>
    <t># Flrs</t>
  </si>
  <si>
    <t>Bldg-H</t>
  </si>
  <si>
    <t>Ntrl-H</t>
  </si>
  <si>
    <t>Site-Alt</t>
  </si>
  <si>
    <t>DP</t>
  </si>
  <si>
    <t>RH</t>
  </si>
  <si>
    <t>V</t>
  </si>
  <si>
    <t>d</t>
  </si>
  <si>
    <t>W</t>
  </si>
  <si>
    <t>H</t>
  </si>
  <si>
    <t>Tdb</t>
  </si>
  <si>
    <t>Twb</t>
  </si>
  <si>
    <t>F</t>
  </si>
  <si>
    <t>%</t>
  </si>
  <si>
    <t>ft3/lb</t>
  </si>
  <si>
    <t>lbs/b</t>
  </si>
  <si>
    <t>btu/lb</t>
  </si>
  <si>
    <t>R</t>
  </si>
  <si>
    <t>PWSwb</t>
  </si>
  <si>
    <t>WSwb</t>
  </si>
  <si>
    <t>PWSdb</t>
  </si>
  <si>
    <t>VPs</t>
  </si>
  <si>
    <t>VPa</t>
  </si>
  <si>
    <t>a</t>
  </si>
  <si>
    <t>WSdb</t>
  </si>
  <si>
    <t>Level</t>
  </si>
  <si>
    <t>Flr No.</t>
  </si>
  <si>
    <t>mph</t>
  </si>
  <si>
    <t>In.Hg</t>
  </si>
  <si>
    <t>PSI</t>
  </si>
  <si>
    <t>NPL-H</t>
  </si>
  <si>
    <t xml:space="preserve"> Alt ref Sea-Lvl</t>
  </si>
  <si>
    <r>
      <t>∆P</t>
    </r>
    <r>
      <rPr>
        <vertAlign val="subscript"/>
        <sz val="12"/>
        <color theme="1"/>
        <rFont val="Calibri"/>
        <family val="2"/>
      </rPr>
      <t>S</t>
    </r>
  </si>
  <si>
    <t>s =</t>
  </si>
  <si>
    <t xml:space="preserve">g = </t>
  </si>
  <si>
    <r>
      <t>∆P</t>
    </r>
    <r>
      <rPr>
        <vertAlign val="subscript"/>
        <sz val="12"/>
        <color theme="1"/>
        <rFont val="Calibri"/>
        <family val="2"/>
      </rPr>
      <t>W</t>
    </r>
  </si>
  <si>
    <t>∆P =</t>
  </si>
  <si>
    <t>∆P +</t>
  </si>
  <si>
    <t>Leakg Q</t>
  </si>
  <si>
    <t>ft3/min</t>
  </si>
  <si>
    <t>Floor</t>
  </si>
  <si>
    <t>Exfl -</t>
  </si>
  <si>
    <t>Infl +</t>
  </si>
  <si>
    <t>Leakage</t>
  </si>
  <si>
    <t>Q /</t>
  </si>
  <si>
    <t>Envel-A</t>
  </si>
  <si>
    <t>Project Analyst</t>
  </si>
  <si>
    <t>Outdoor DB (F)</t>
  </si>
  <si>
    <t>Convert K-Pa to</t>
  </si>
  <si>
    <t xml:space="preserve"> Convert in.H20 to</t>
  </si>
  <si>
    <r>
      <t>∆P</t>
    </r>
    <r>
      <rPr>
        <vertAlign val="subscript"/>
        <sz val="12"/>
        <color theme="1"/>
        <rFont val="Calibri"/>
        <family val="2"/>
      </rPr>
      <t>W</t>
    </r>
    <r>
      <rPr>
        <sz val="12"/>
        <color theme="1"/>
        <rFont val="Calibri"/>
        <family val="2"/>
      </rPr>
      <t>+∆P</t>
    </r>
    <r>
      <rPr>
        <vertAlign val="subscript"/>
        <sz val="12"/>
        <color theme="1"/>
        <rFont val="Calibri"/>
        <family val="2"/>
      </rPr>
      <t>S</t>
    </r>
  </si>
  <si>
    <r>
      <t>P</t>
    </r>
    <r>
      <rPr>
        <b/>
        <vertAlign val="subscript"/>
        <sz val="12"/>
        <color theme="1"/>
        <rFont val="Calibri"/>
        <family val="2"/>
      </rPr>
      <t xml:space="preserve">I </t>
    </r>
    <r>
      <rPr>
        <b/>
        <sz val="12"/>
        <color theme="1"/>
        <rFont val="Calibri"/>
        <family val="2"/>
      </rPr>
      <t>- P</t>
    </r>
    <r>
      <rPr>
        <b/>
        <vertAlign val="subscript"/>
        <sz val="12"/>
        <color theme="1"/>
        <rFont val="Calibri"/>
        <family val="2"/>
      </rPr>
      <t>O</t>
    </r>
  </si>
  <si>
    <t>SECTION-Height (ft)</t>
  </si>
  <si>
    <t>No. of Flrs (Incl Mech Flr)</t>
  </si>
  <si>
    <t>N</t>
  </si>
  <si>
    <t>Y</t>
  </si>
  <si>
    <t>Wnd (mph) Grnd</t>
  </si>
  <si>
    <t>Wnd (mph) Roof</t>
  </si>
  <si>
    <t>CALCULATED</t>
  </si>
  <si>
    <t>Description</t>
  </si>
  <si>
    <t>VCT (Description)</t>
  </si>
  <si>
    <t>Totl Section Leakg Area (ft2)</t>
  </si>
  <si>
    <t>Minneapolis, MN, USA (Description)</t>
  </si>
  <si>
    <t>Retail</t>
  </si>
  <si>
    <t>Lobby</t>
  </si>
  <si>
    <t>Tradg</t>
  </si>
  <si>
    <t>Office</t>
  </si>
  <si>
    <t>Hotel</t>
  </si>
  <si>
    <t>Condos</t>
  </si>
  <si>
    <t>Dining</t>
  </si>
  <si>
    <t>Htl-Srvc</t>
  </si>
  <si>
    <t>ID #</t>
  </si>
  <si>
    <t>Flr-#</t>
  </si>
  <si>
    <t>Bldg</t>
  </si>
  <si>
    <t>Sctn</t>
  </si>
  <si>
    <t>Calc</t>
  </si>
  <si>
    <t>Leakg Flow Cf</t>
  </si>
  <si>
    <r>
      <t>Inside-Outside (P</t>
    </r>
    <r>
      <rPr>
        <vertAlign val="subscript"/>
        <sz val="12"/>
        <color theme="1"/>
        <rFont val="Calibri"/>
        <family val="2"/>
      </rPr>
      <t>I</t>
    </r>
    <r>
      <rPr>
        <sz val="12"/>
        <color theme="1"/>
        <rFont val="Calibri"/>
        <family val="2"/>
      </rPr>
      <t>-P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)</t>
    </r>
  </si>
  <si>
    <t>Location</t>
  </si>
  <si>
    <t>Indoor Conditions</t>
  </si>
  <si>
    <t>Site Altit</t>
  </si>
  <si>
    <t xml:space="preserve"> Total Bldg Area</t>
  </si>
  <si>
    <t xml:space="preserve"> Total Envel Area</t>
  </si>
  <si>
    <t>Wnd-Vel Diff</t>
  </si>
  <si>
    <t>Leakg-A</t>
  </si>
  <si>
    <t>Hght</t>
  </si>
  <si>
    <t xml:space="preserve"> Envel Leakg A</t>
  </si>
  <si>
    <r>
      <t>Psychrometric Calculations for DP, RH, V, W, H, T</t>
    </r>
    <r>
      <rPr>
        <vertAlign val="subscript"/>
        <sz val="13"/>
        <color theme="1"/>
        <rFont val="Calibri"/>
        <family val="2"/>
      </rPr>
      <t>R</t>
    </r>
  </si>
  <si>
    <t>Q =</t>
  </si>
  <si>
    <t>Q cfm</t>
  </si>
  <si>
    <t>Wnd-V</t>
  </si>
  <si>
    <t>Z</t>
  </si>
  <si>
    <t>f</t>
  </si>
  <si>
    <t>Cd =</t>
  </si>
  <si>
    <t>SUMMER</t>
  </si>
  <si>
    <t xml:space="preserve"> Flr-H + Sea-Lvl</t>
  </si>
  <si>
    <t>SECTION No. &gt;&gt;</t>
  </si>
  <si>
    <t>A</t>
  </si>
  <si>
    <t>B</t>
  </si>
  <si>
    <t>b</t>
  </si>
  <si>
    <t>Flr #</t>
  </si>
  <si>
    <t>Section &gt;&gt;</t>
  </si>
  <si>
    <t># flrs &gt;&gt;</t>
  </si>
  <si>
    <t xml:space="preserve">Degree-Days </t>
  </si>
  <si>
    <t>SHG</t>
  </si>
  <si>
    <t>SHG/yr</t>
  </si>
  <si>
    <t>tons</t>
  </si>
  <si>
    <t>Iniltr SHG/hr = CFM * 1.08 (To-Ti))</t>
  </si>
  <si>
    <t>btuh</t>
  </si>
  <si>
    <t>Stack Effect Press Diff (in.wg)</t>
  </si>
  <si>
    <t>Wind Press (in.wg)</t>
  </si>
  <si>
    <r>
      <t>C</t>
    </r>
    <r>
      <rPr>
        <b/>
        <vertAlign val="subscript"/>
        <sz val="14"/>
        <color theme="1"/>
        <rFont val="Calibri"/>
        <family val="2"/>
        <scheme val="minor"/>
      </rPr>
      <t>1</t>
    </r>
    <r>
      <rPr>
        <b/>
        <sz val="14"/>
        <color theme="1"/>
        <rFont val="Calibri"/>
        <family val="2"/>
        <scheme val="minor"/>
      </rPr>
      <t xml:space="preserve"> =</t>
    </r>
  </si>
  <si>
    <r>
      <t>C</t>
    </r>
    <r>
      <rPr>
        <b/>
        <vertAlign val="sub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 xml:space="preserve"> =</t>
    </r>
  </si>
  <si>
    <r>
      <t>C</t>
    </r>
    <r>
      <rPr>
        <b/>
        <vertAlign val="subscript"/>
        <sz val="14"/>
        <color theme="1"/>
        <rFont val="Calibri"/>
        <family val="2"/>
        <scheme val="minor"/>
      </rPr>
      <t>P</t>
    </r>
    <r>
      <rPr>
        <b/>
        <sz val="14"/>
        <color theme="1"/>
        <rFont val="Calibri"/>
        <family val="2"/>
        <scheme val="minor"/>
      </rPr>
      <t xml:space="preserve"> =</t>
    </r>
  </si>
  <si>
    <r>
      <t>∆P</t>
    </r>
    <r>
      <rPr>
        <vertAlign val="subscript"/>
        <sz val="12"/>
        <color theme="1"/>
        <rFont val="Calibri"/>
        <family val="2"/>
        <scheme val="minor"/>
      </rPr>
      <t>S</t>
    </r>
    <r>
      <rPr>
        <sz val="12"/>
        <color theme="1"/>
        <rFont val="Calibri"/>
        <family val="2"/>
        <scheme val="minor"/>
      </rPr>
      <t xml:space="preserve"> =</t>
    </r>
  </si>
  <si>
    <r>
      <t>∆P</t>
    </r>
    <r>
      <rPr>
        <vertAlign val="subscript"/>
        <sz val="12"/>
        <color theme="1"/>
        <rFont val="Calibri"/>
        <family val="2"/>
        <scheme val="minor"/>
      </rPr>
      <t>W</t>
    </r>
    <r>
      <rPr>
        <sz val="12"/>
        <color theme="1"/>
        <rFont val="Calibri"/>
        <family val="2"/>
        <scheme val="minor"/>
      </rPr>
      <t xml:space="preserve"> =</t>
    </r>
  </si>
  <si>
    <r>
      <t xml:space="preserve">Airflow Rate </t>
    </r>
    <r>
      <rPr>
        <b/>
        <sz val="12"/>
        <color theme="1"/>
        <rFont val="Calibri"/>
        <family val="2"/>
        <scheme val="minor"/>
      </rPr>
      <t>(ft3/sec)</t>
    </r>
  </si>
  <si>
    <r>
      <t>P</t>
    </r>
    <r>
      <rPr>
        <b/>
        <vertAlign val="subscript"/>
        <sz val="12"/>
        <color theme="1"/>
        <rFont val="Calibri"/>
        <family val="2"/>
        <scheme val="minor"/>
      </rPr>
      <t xml:space="preserve">I </t>
    </r>
    <r>
      <rPr>
        <b/>
        <sz val="12"/>
        <color theme="1"/>
        <rFont val="Calibri"/>
        <family val="2"/>
        <scheme val="minor"/>
      </rPr>
      <t>- P</t>
    </r>
    <r>
      <rPr>
        <b/>
        <vertAlign val="subscript"/>
        <sz val="12"/>
        <color theme="1"/>
        <rFont val="Calibri"/>
        <family val="2"/>
        <scheme val="minor"/>
      </rPr>
      <t>O</t>
    </r>
  </si>
  <si>
    <t>A = Leakg-A</t>
  </si>
  <si>
    <r>
      <t>ρ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= OA dens</t>
    </r>
  </si>
  <si>
    <r>
      <t>U</t>
    </r>
    <r>
      <rPr>
        <vertAlign val="subscript"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scheme val="minor"/>
      </rPr>
      <t xml:space="preserve"> = mph</t>
    </r>
  </si>
  <si>
    <r>
      <t>C</t>
    </r>
    <r>
      <rPr>
        <vertAlign val="subscript"/>
        <sz val="14"/>
        <color theme="1"/>
        <rFont val="Calibri"/>
        <family val="2"/>
        <scheme val="minor"/>
      </rPr>
      <t>F</t>
    </r>
    <r>
      <rPr>
        <sz val="14"/>
        <color theme="1"/>
        <rFont val="Calibri"/>
        <family val="2"/>
        <scheme val="minor"/>
      </rPr>
      <t xml:space="preserve"> =</t>
    </r>
  </si>
  <si>
    <t>SHL</t>
  </si>
  <si>
    <t>SHL/yr</t>
  </si>
  <si>
    <t>K-btu</t>
  </si>
  <si>
    <t>Tons</t>
  </si>
  <si>
    <t>cfm/ft2</t>
  </si>
  <si>
    <t>Infltr &amp; Exfltr due to Building Stack Effect, Wind Press</t>
  </si>
  <si>
    <t>Basis of Calculations</t>
  </si>
  <si>
    <t>Definitions</t>
  </si>
  <si>
    <t>ASHRAE def. of Tall Buildings = above 300 ft</t>
  </si>
  <si>
    <t>CTBUH def. of Super-Tall Bldgs = above 300 meters = above 985 feet</t>
  </si>
  <si>
    <t>NFPA def. of High Rise Bldg &gt; than 7 stories (&gt; 75 ft approx) fight fire from inside</t>
  </si>
  <si>
    <t>Def. of Low Rise Bldg varies.  Ex. Requires no elevators (up to 3 flrs, less than 35 ft)</t>
  </si>
  <si>
    <t>Def. of Mid Rise Bldg = between Low Rise and High Rise (4 to 7 flrs, 35 ft to 75 ft)</t>
  </si>
  <si>
    <t xml:space="preserve">Flr to Flr Heights (ft):   </t>
  </si>
  <si>
    <t>Residential =</t>
  </si>
  <si>
    <t>Office =</t>
  </si>
  <si>
    <t>Retail =</t>
  </si>
  <si>
    <t>Lobby =</t>
  </si>
  <si>
    <t>IP Units</t>
  </si>
  <si>
    <t>SI Units</t>
  </si>
  <si>
    <t>Std. Atm. Press.</t>
  </si>
  <si>
    <t>kPa</t>
  </si>
  <si>
    <t>Building pressure variations are caused by climatic wind pressure and stack effect (air buoyancy) which results</t>
  </si>
  <si>
    <t>in an uncontrolled air flow into and out  of a high rise building. The quantity of uncontrolled ventilation is</t>
  </si>
  <si>
    <t>P = air press. (Pa)</t>
  </si>
  <si>
    <t>H = altitude above sea level (m)</t>
  </si>
  <si>
    <r>
      <t>in.H</t>
    </r>
    <r>
      <rPr>
        <vertAlign val="sub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O</t>
    </r>
  </si>
  <si>
    <t xml:space="preserve"> influenced by indoor-outdoor temperature difference, wind velocity, wind direction, height of the building, and </t>
  </si>
  <si>
    <t>Stack Efect Press Difference</t>
  </si>
  <si>
    <t>(ASHRAE Handbook of Fundamentals)</t>
  </si>
  <si>
    <t xml:space="preserve">building construction. In cold climates air infiltrates into the lower half of the high rise building through doors, </t>
  </si>
  <si>
    <r>
      <t>∆P</t>
    </r>
    <r>
      <rPr>
        <b/>
        <vertAlign val="subscript"/>
        <sz val="14"/>
        <color theme="1"/>
        <rFont val="Calibri"/>
        <family val="2"/>
      </rPr>
      <t>S</t>
    </r>
    <r>
      <rPr>
        <b/>
        <sz val="14"/>
        <color theme="1"/>
        <rFont val="Calibri"/>
        <family val="2"/>
      </rPr>
      <t xml:space="preserve"> = C</t>
    </r>
    <r>
      <rPr>
        <b/>
        <vertAlign val="subscript"/>
        <sz val="14"/>
        <color theme="1"/>
        <rFont val="Calibri"/>
        <family val="2"/>
      </rPr>
      <t>1</t>
    </r>
    <r>
      <rPr>
        <b/>
        <sz val="14"/>
        <color theme="1"/>
        <rFont val="Calibri"/>
        <family val="2"/>
      </rPr>
      <t xml:space="preserve"> * ρ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 xml:space="preserve"> * [ (T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 xml:space="preserve"> - T</t>
    </r>
    <r>
      <rPr>
        <b/>
        <vertAlign val="subscript"/>
        <sz val="14"/>
        <color theme="1"/>
        <rFont val="Calibri"/>
        <family val="2"/>
      </rPr>
      <t>I</t>
    </r>
    <r>
      <rPr>
        <b/>
        <sz val="14"/>
        <color theme="1"/>
        <rFont val="Calibri"/>
        <family val="2"/>
      </rPr>
      <t>) / T</t>
    </r>
    <r>
      <rPr>
        <b/>
        <vertAlign val="subscript"/>
        <sz val="14"/>
        <color theme="1"/>
        <rFont val="Calibri"/>
        <family val="2"/>
      </rPr>
      <t>I</t>
    </r>
    <r>
      <rPr>
        <b/>
        <sz val="14"/>
        <color theme="1"/>
        <rFont val="Calibri"/>
        <family val="2"/>
      </rPr>
      <t xml:space="preserve"> ] * g * (H</t>
    </r>
    <r>
      <rPr>
        <b/>
        <vertAlign val="subscript"/>
        <sz val="14"/>
        <color theme="1"/>
        <rFont val="Calibri"/>
        <family val="2"/>
      </rPr>
      <t>NPL</t>
    </r>
    <r>
      <rPr>
        <b/>
        <sz val="14"/>
        <color theme="1"/>
        <rFont val="Calibri"/>
        <family val="2"/>
      </rPr>
      <t xml:space="preserve"> - H)</t>
    </r>
  </si>
  <si>
    <t>(Wikipedia)</t>
  </si>
  <si>
    <t xml:space="preserve">curtain walls, and other paths and rises to upper floors through shafts and other means due to natural stack </t>
  </si>
  <si>
    <r>
      <t>∆P</t>
    </r>
    <r>
      <rPr>
        <vertAlign val="subscript"/>
        <sz val="12"/>
        <color theme="1"/>
        <rFont val="Calibri"/>
        <family val="2"/>
      </rPr>
      <t>S</t>
    </r>
    <r>
      <rPr>
        <sz val="12"/>
        <color theme="1"/>
        <rFont val="Calibri"/>
        <family val="2"/>
      </rPr>
      <t xml:space="preserve"> =</t>
    </r>
  </si>
  <si>
    <t>Difference (Indoor - Outdoor) Stack Press (in.wg)</t>
  </si>
  <si>
    <r>
      <t xml:space="preserve"> ∆P</t>
    </r>
    <r>
      <rPr>
        <b/>
        <vertAlign val="subscript"/>
        <sz val="14"/>
        <color theme="1"/>
        <rFont val="Calibri"/>
        <family val="2"/>
      </rPr>
      <t>S</t>
    </r>
    <r>
      <rPr>
        <b/>
        <sz val="14"/>
        <color theme="1"/>
        <rFont val="Calibri"/>
        <family val="2"/>
      </rPr>
      <t xml:space="preserve"> = C * Atm.Pr. * H * (1/T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>-1/T</t>
    </r>
    <r>
      <rPr>
        <b/>
        <vertAlign val="subscript"/>
        <sz val="14"/>
        <color theme="1"/>
        <rFont val="Calibri"/>
        <family val="2"/>
      </rPr>
      <t>I</t>
    </r>
    <r>
      <rPr>
        <b/>
        <sz val="14"/>
        <color theme="1"/>
        <rFont val="Calibri"/>
        <family val="2"/>
      </rPr>
      <t>)</t>
    </r>
  </si>
  <si>
    <t xml:space="preserve">effect and ex-filtrates from the upper half of the building. </t>
  </si>
  <si>
    <r>
      <t>C</t>
    </r>
    <r>
      <rPr>
        <vertAlign val="subscript"/>
        <sz val="12"/>
        <color theme="1"/>
        <rFont val="Calibri"/>
        <family val="2"/>
      </rPr>
      <t>1</t>
    </r>
    <r>
      <rPr>
        <sz val="12"/>
        <color theme="1"/>
        <rFont val="Calibri"/>
        <family val="2"/>
      </rPr>
      <t xml:space="preserve"> =</t>
    </r>
  </si>
  <si>
    <r>
      <t>Conversion Factor = 0.00598 (in.wg . ft.sec</t>
    </r>
    <r>
      <rPr>
        <vertAlign val="super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/lb</t>
    </r>
    <r>
      <rPr>
        <vertAlign val="subscript"/>
        <sz val="12"/>
        <color theme="1"/>
        <rFont val="Calibri"/>
        <family val="2"/>
      </rPr>
      <t>m)</t>
    </r>
  </si>
  <si>
    <t>Var.</t>
  </si>
  <si>
    <t>IP</t>
  </si>
  <si>
    <t>SI</t>
  </si>
  <si>
    <r>
      <t>ρ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 xml:space="preserve"> =</t>
    </r>
  </si>
  <si>
    <r>
      <t>Outdoor Air Density at Outdoor Air Temp, lb</t>
    </r>
    <r>
      <rPr>
        <vertAlign val="subscript"/>
        <sz val="12"/>
        <color theme="1"/>
        <rFont val="Calibri"/>
        <family val="2"/>
      </rPr>
      <t>m</t>
    </r>
    <r>
      <rPr>
        <sz val="12"/>
        <color theme="1"/>
        <rFont val="Calibri"/>
        <family val="2"/>
      </rPr>
      <t>/ft</t>
    </r>
    <r>
      <rPr>
        <vertAlign val="superscript"/>
        <sz val="12"/>
        <color theme="1"/>
        <rFont val="Calibri"/>
        <family val="2"/>
      </rPr>
      <t>3</t>
    </r>
  </si>
  <si>
    <t xml:space="preserve">C </t>
  </si>
  <si>
    <t>Wind creates a distribution of static pressure on the building envelope, which is dependent on wind direction</t>
  </si>
  <si>
    <t>g =</t>
  </si>
  <si>
    <t xml:space="preserve">gravitational constant </t>
  </si>
  <si>
    <t>ft/sec2</t>
  </si>
  <si>
    <r>
      <t xml:space="preserve"> m/sec</t>
    </r>
    <r>
      <rPr>
        <vertAlign val="superscript"/>
        <sz val="12"/>
        <rFont val="Calibri"/>
        <family val="2"/>
      </rPr>
      <t>2</t>
    </r>
  </si>
  <si>
    <t>∆PS</t>
  </si>
  <si>
    <t>Pa</t>
  </si>
  <si>
    <t>and location on building envelope. The basic wind pressure  theory is expressed as (Hong Kong Univ, 2001):</t>
  </si>
  <si>
    <r>
      <t>T</t>
    </r>
    <r>
      <rPr>
        <vertAlign val="subscript"/>
        <sz val="12"/>
        <color theme="1"/>
        <rFont val="Calibri"/>
        <family val="2"/>
      </rPr>
      <t>I</t>
    </r>
    <r>
      <rPr>
        <sz val="12"/>
        <color theme="1"/>
        <rFont val="Calibri"/>
        <family val="2"/>
      </rPr>
      <t xml:space="preserve"> =</t>
    </r>
  </si>
  <si>
    <t>Indr</t>
  </si>
  <si>
    <r>
      <t>(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R=460+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F)</t>
    </r>
  </si>
  <si>
    <t>At.Pr.</t>
  </si>
  <si>
    <t xml:space="preserve">air density, lbm/ft3 (about 0.075) </t>
  </si>
  <si>
    <r>
      <t>T</t>
    </r>
    <r>
      <rPr>
        <vertAlign val="sub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 xml:space="preserve"> =</t>
    </r>
  </si>
  <si>
    <t>Outdr</t>
  </si>
  <si>
    <t>H (ht)</t>
  </si>
  <si>
    <t>Ft</t>
  </si>
  <si>
    <t>m</t>
  </si>
  <si>
    <t>V =</t>
  </si>
  <si>
    <t xml:space="preserve">wind speed, mph </t>
  </si>
  <si>
    <r>
      <t>H</t>
    </r>
    <r>
      <rPr>
        <vertAlign val="subscript"/>
        <sz val="12"/>
        <color theme="1"/>
        <rFont val="Calibri"/>
        <family val="2"/>
      </rPr>
      <t>NPL</t>
    </r>
    <r>
      <rPr>
        <sz val="12"/>
        <color theme="1"/>
        <rFont val="Calibri"/>
        <family val="2"/>
      </rPr>
      <t xml:space="preserve"> =</t>
    </r>
  </si>
  <si>
    <t>Neutral Pr. Plane above Ref Plane, ft (0.5*H appr)</t>
  </si>
  <si>
    <r>
      <rPr>
        <b/>
        <vertAlign val="superscript"/>
        <sz val="14"/>
        <color rgb="FF002060"/>
        <rFont val="Calibri"/>
        <family val="2"/>
      </rPr>
      <t>O</t>
    </r>
    <r>
      <rPr>
        <b/>
        <sz val="14"/>
        <color rgb="FF002060"/>
        <rFont val="Calibri"/>
        <family val="2"/>
      </rPr>
      <t>R</t>
    </r>
  </si>
  <si>
    <r>
      <rPr>
        <b/>
        <vertAlign val="superscript"/>
        <sz val="14"/>
        <color rgb="FF002060"/>
        <rFont val="Calibri"/>
        <family val="2"/>
      </rPr>
      <t>O</t>
    </r>
    <r>
      <rPr>
        <b/>
        <sz val="14"/>
        <color rgb="FF002060"/>
        <rFont val="Calibri"/>
        <family val="2"/>
      </rPr>
      <t>K</t>
    </r>
  </si>
  <si>
    <t>I &amp; o =</t>
  </si>
  <si>
    <t>inside &amp; outside</t>
  </si>
  <si>
    <t>H =</t>
  </si>
  <si>
    <t>Building Height above Reference Plane, (ft)</t>
  </si>
  <si>
    <t>wind pressure difference, in of water</t>
  </si>
  <si>
    <t>C =</t>
  </si>
  <si>
    <t xml:space="preserve">unit conversion, 0.0129 </t>
  </si>
  <si>
    <t>Wind Pressure</t>
  </si>
  <si>
    <t>Pushes Outdoor Air on Windward side (+ve) - Pulls Indoor Air on Leeward side (-ve)</t>
  </si>
  <si>
    <r>
      <t>C</t>
    </r>
    <r>
      <rPr>
        <b/>
        <i/>
        <vertAlign val="subscript"/>
        <sz val="16"/>
        <color theme="1"/>
        <rFont val="Calibri"/>
        <family val="2"/>
        <scheme val="minor"/>
      </rPr>
      <t>P =</t>
    </r>
  </si>
  <si>
    <t xml:space="preserve">surface (location on building envelope) pressure coefficient, dimensionless </t>
  </si>
  <si>
    <r>
      <t>∆P</t>
    </r>
    <r>
      <rPr>
        <b/>
        <vertAlign val="subscript"/>
        <sz val="14"/>
        <color theme="1"/>
        <rFont val="Calibri"/>
        <family val="2"/>
      </rPr>
      <t>W</t>
    </r>
    <r>
      <rPr>
        <b/>
        <sz val="14"/>
        <color theme="1"/>
        <rFont val="Calibri"/>
        <family val="2"/>
      </rPr>
      <t xml:space="preserve"> = C</t>
    </r>
    <r>
      <rPr>
        <b/>
        <vertAlign val="sub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 xml:space="preserve"> * s</t>
    </r>
    <r>
      <rPr>
        <b/>
        <vertAlign val="super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 xml:space="preserve"> * C</t>
    </r>
    <r>
      <rPr>
        <b/>
        <vertAlign val="superscript"/>
        <sz val="14"/>
        <color theme="1"/>
        <rFont val="Calibri"/>
        <family val="2"/>
      </rPr>
      <t>P</t>
    </r>
    <r>
      <rPr>
        <b/>
        <sz val="14"/>
        <color theme="1"/>
        <rFont val="Calibri"/>
        <family val="2"/>
      </rPr>
      <t xml:space="preserve"> * ρ</t>
    </r>
    <r>
      <rPr>
        <b/>
        <vertAlign val="subscript"/>
        <sz val="14"/>
        <color theme="1"/>
        <rFont val="Calibri"/>
        <family val="2"/>
      </rPr>
      <t>O</t>
    </r>
    <r>
      <rPr>
        <b/>
        <sz val="14"/>
        <color theme="1"/>
        <rFont val="Calibri"/>
        <family val="2"/>
      </rPr>
      <t xml:space="preserve"> * (U</t>
    </r>
    <r>
      <rPr>
        <b/>
        <vertAlign val="subscript"/>
        <sz val="14"/>
        <color theme="1"/>
        <rFont val="Calibri"/>
        <family val="2"/>
      </rPr>
      <t>H</t>
    </r>
    <r>
      <rPr>
        <b/>
        <sz val="14"/>
        <color theme="1"/>
        <rFont val="Calibri"/>
        <family val="2"/>
      </rPr>
      <t>)</t>
    </r>
    <r>
      <rPr>
        <b/>
        <vertAlign val="super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 xml:space="preserve"> / 2</t>
    </r>
  </si>
  <si>
    <t xml:space="preserve"> </t>
  </si>
  <si>
    <t>feet to meters</t>
  </si>
  <si>
    <r>
      <t>∆P</t>
    </r>
    <r>
      <rPr>
        <vertAlign val="subscript"/>
        <sz val="12"/>
        <color theme="1"/>
        <rFont val="Calibri"/>
        <family val="2"/>
      </rPr>
      <t>W</t>
    </r>
    <r>
      <rPr>
        <sz val="12"/>
        <color theme="1"/>
        <rFont val="Calibri"/>
        <family val="2"/>
      </rPr>
      <t xml:space="preserve"> =</t>
    </r>
  </si>
  <si>
    <t>lbs/ft3 to kg/m3</t>
  </si>
  <si>
    <r>
      <t>C</t>
    </r>
    <r>
      <rPr>
        <vertAlign val="sub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 xml:space="preserve"> =</t>
    </r>
  </si>
  <si>
    <r>
      <t>Conv. Factor  (in.wg * ft</t>
    </r>
    <r>
      <rPr>
        <vertAlign val="superscript"/>
        <sz val="12"/>
        <color theme="1"/>
        <rFont val="Calibri"/>
        <family val="2"/>
      </rPr>
      <t>3</t>
    </r>
    <r>
      <rPr>
        <sz val="12"/>
        <color theme="1"/>
        <rFont val="Calibri"/>
        <family val="2"/>
      </rPr>
      <t>/lb</t>
    </r>
    <r>
      <rPr>
        <vertAlign val="subscript"/>
        <sz val="12"/>
        <color theme="1"/>
        <rFont val="Calibri"/>
        <family val="2"/>
      </rPr>
      <t>m</t>
    </r>
    <r>
      <rPr>
        <sz val="12"/>
        <color theme="1"/>
        <rFont val="Calibri"/>
        <family val="2"/>
      </rPr>
      <t xml:space="preserve"> * mph</t>
    </r>
    <r>
      <rPr>
        <vertAlign val="super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)</t>
    </r>
  </si>
  <si>
    <t>m3/hr to ft3/min</t>
  </si>
  <si>
    <r>
      <t>C</t>
    </r>
    <r>
      <rPr>
        <vertAlign val="subscript"/>
        <sz val="12"/>
        <color theme="1"/>
        <rFont val="Calibri"/>
        <family val="2"/>
      </rPr>
      <t>P</t>
    </r>
    <r>
      <rPr>
        <sz val="12"/>
        <color theme="1"/>
        <rFont val="Calibri"/>
        <family val="2"/>
      </rPr>
      <t xml:space="preserve"> =</t>
    </r>
  </si>
  <si>
    <t>Wind Surface Pr. Coeff ( = 0.5 to 0.8)</t>
  </si>
  <si>
    <t>mph to Km/hr</t>
  </si>
  <si>
    <t>Air density varies with temperature. In cold weather, low density air infiltrates the building, rises within the high rise</t>
  </si>
  <si>
    <t>Shelter Factor (0.4 for example)</t>
  </si>
  <si>
    <t>K-Pa to In.wg</t>
  </si>
  <si>
    <t>bldg’s vertical shafts as it warms &amp; creates stack effect pressure. The basic stack  effect theory is expressed as:</t>
  </si>
  <si>
    <t>OA Density at OA Temp, lbm/ft2</t>
  </si>
  <si>
    <t>K-Pa to In.Hg</t>
  </si>
  <si>
    <t xml:space="preserve">stack pressure, in of water </t>
  </si>
  <si>
    <r>
      <t>U</t>
    </r>
    <r>
      <rPr>
        <vertAlign val="subscript"/>
        <sz val="12"/>
        <color theme="1"/>
        <rFont val="Calibri"/>
        <family val="2"/>
      </rPr>
      <t>H</t>
    </r>
    <r>
      <rPr>
        <sz val="12"/>
        <color theme="1"/>
        <rFont val="Calibri"/>
        <family val="2"/>
      </rPr>
      <t xml:space="preserve"> =</t>
    </r>
  </si>
  <si>
    <t>Effective Wind Speed (mph)</t>
  </si>
  <si>
    <t>K-Pa to PSI</t>
  </si>
  <si>
    <t>T =</t>
  </si>
  <si>
    <t>(Indoor - Outdor) Press (in. H2O)</t>
  </si>
  <si>
    <t>to</t>
  </si>
  <si>
    <t>Sq.Ft to Sq.M</t>
  </si>
  <si>
    <t>Airflow (Leakge) thru Envelope</t>
  </si>
  <si>
    <t>Air Pressue and the Building Envelope by Rick Quirouette</t>
  </si>
  <si>
    <r>
      <t>C</t>
    </r>
    <r>
      <rPr>
        <b/>
        <i/>
        <vertAlign val="subscript"/>
        <sz val="16"/>
        <color theme="1"/>
        <rFont val="Calibri"/>
        <family val="2"/>
        <scheme val="minor"/>
      </rPr>
      <t>2</t>
    </r>
    <r>
      <rPr>
        <b/>
        <i/>
        <sz val="16"/>
        <color theme="1"/>
        <rFont val="Calibri"/>
        <family val="2"/>
        <scheme val="minor"/>
      </rPr>
      <t>, ρ, g =</t>
    </r>
  </si>
  <si>
    <t>air density and gravity constant, 0.01444</t>
  </si>
  <si>
    <t>h =</t>
  </si>
  <si>
    <t>height, feet</t>
  </si>
  <si>
    <r>
      <t xml:space="preserve"> Q = C</t>
    </r>
    <r>
      <rPr>
        <b/>
        <vertAlign val="subscript"/>
        <sz val="14"/>
        <color theme="1"/>
        <rFont val="Calibri"/>
        <family val="2"/>
        <scheme val="minor"/>
      </rPr>
      <t>d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* A * ( 2 * ∆P/d )</t>
    </r>
    <r>
      <rPr>
        <b/>
        <vertAlign val="superscript"/>
        <sz val="14"/>
        <color theme="1"/>
        <rFont val="Calibri"/>
        <family val="2"/>
        <scheme val="minor"/>
      </rPr>
      <t>0.5</t>
    </r>
  </si>
  <si>
    <r>
      <t>C</t>
    </r>
    <r>
      <rPr>
        <b/>
        <vertAlign val="subscript"/>
        <sz val="14"/>
        <color theme="1"/>
        <rFont val="Calibri"/>
        <family val="2"/>
      </rPr>
      <t>d</t>
    </r>
    <r>
      <rPr>
        <b/>
        <sz val="14"/>
        <color theme="1"/>
        <rFont val="Calibri"/>
        <family val="2"/>
      </rPr>
      <t xml:space="preserve"> =</t>
    </r>
  </si>
  <si>
    <t>Convert</t>
  </si>
  <si>
    <t xml:space="preserve"> In.Hg</t>
  </si>
  <si>
    <r>
      <t>in.H</t>
    </r>
    <r>
      <rPr>
        <b/>
        <vertAlign val="subscript"/>
        <sz val="14"/>
        <color rgb="FF002060"/>
        <rFont val="Calibri"/>
        <family val="2"/>
      </rPr>
      <t>2</t>
    </r>
    <r>
      <rPr>
        <b/>
        <sz val="14"/>
        <color rgb="FF002060"/>
        <rFont val="Calibri"/>
        <family val="2"/>
      </rPr>
      <t xml:space="preserve">O  </t>
    </r>
  </si>
  <si>
    <r>
      <t>h</t>
    </r>
    <r>
      <rPr>
        <b/>
        <i/>
        <vertAlign val="subscript"/>
        <sz val="16"/>
        <color theme="1"/>
        <rFont val="Calibri"/>
        <family val="2"/>
        <scheme val="minor"/>
      </rPr>
      <t>neutral</t>
    </r>
    <r>
      <rPr>
        <b/>
        <i/>
        <sz val="16"/>
        <color theme="1"/>
        <rFont val="Calibri"/>
        <family val="2"/>
        <scheme val="minor"/>
      </rPr>
      <t xml:space="preserve"> =</t>
    </r>
  </si>
  <si>
    <t>height of neutral pressure level</t>
  </si>
  <si>
    <t>or</t>
  </si>
  <si>
    <r>
      <t>∆P = (d/2) * (Q / (Cd * A))</t>
    </r>
    <r>
      <rPr>
        <b/>
        <vertAlign val="superscript"/>
        <sz val="14"/>
        <color theme="1"/>
        <rFont val="Calibri"/>
        <family val="2"/>
        <scheme val="minor"/>
      </rPr>
      <t>2</t>
    </r>
  </si>
  <si>
    <t>PD across Opening, Pa</t>
  </si>
  <si>
    <t>Airflow Rate, m3/s</t>
  </si>
  <si>
    <t xml:space="preserve">Discharge Coeff. for Opening, dimensionless (0.6) </t>
  </si>
  <si>
    <t>Kgf/m2</t>
  </si>
  <si>
    <t>The resultant pressure difference will cause air flow based on the following expression for flow through an orifice:</t>
  </si>
  <si>
    <t>A =</t>
  </si>
  <si>
    <t>cross-sectional area of opening, m2</t>
  </si>
  <si>
    <t>mm.Hg</t>
  </si>
  <si>
    <t>air flow</t>
  </si>
  <si>
    <t xml:space="preserve">d = </t>
  </si>
  <si>
    <t>density of air, kg/m3</t>
  </si>
  <si>
    <t>air density</t>
  </si>
  <si>
    <r>
      <t>C</t>
    </r>
    <r>
      <rPr>
        <b/>
        <vertAlign val="subscript"/>
        <sz val="16"/>
        <color theme="1"/>
        <rFont val="Calibri"/>
        <family val="2"/>
        <scheme val="minor"/>
      </rPr>
      <t>f</t>
    </r>
    <r>
      <rPr>
        <b/>
        <sz val="16"/>
        <color theme="1"/>
        <rFont val="Calibri"/>
        <family val="2"/>
        <scheme val="minor"/>
      </rPr>
      <t xml:space="preserve"> =</t>
    </r>
  </si>
  <si>
    <t>flow coefficient</t>
  </si>
  <si>
    <t>Std. Atmos. Press. =</t>
  </si>
  <si>
    <t>total pressure difference across flow area</t>
  </si>
  <si>
    <t xml:space="preserve"> Pressurized Bldg:  Indoor Press. - Outdoor Press. =  </t>
  </si>
  <si>
    <t>PSYCHROMETRICS</t>
  </si>
  <si>
    <t>Temp t</t>
  </si>
  <si>
    <t>C1</t>
  </si>
  <si>
    <t>t  (DB)</t>
  </si>
  <si>
    <t>Dry Bulb Temperature (F)</t>
  </si>
  <si>
    <t>&lt; 32 F</t>
  </si>
  <si>
    <t>C2</t>
  </si>
  <si>
    <t>t"  (WB)</t>
  </si>
  <si>
    <t>Wet Bulb Temperature (F)</t>
  </si>
  <si>
    <t>Z-sl</t>
  </si>
  <si>
    <t>Altitude (Sea-Level) ft</t>
  </si>
  <si>
    <t>C3</t>
  </si>
  <si>
    <t>Altitude</t>
  </si>
  <si>
    <t>P-sl</t>
  </si>
  <si>
    <t>Std Atmos Press (in. Hg)</t>
  </si>
  <si>
    <t>C4</t>
  </si>
  <si>
    <t>P (in.Hg)</t>
  </si>
  <si>
    <t>Atmospheric Pressure (in. Hg)</t>
  </si>
  <si>
    <t>29.92 * ( 1 - 6.8753*10^-6 * Z )^5.2559</t>
  </si>
  <si>
    <t>DB-sl</t>
  </si>
  <si>
    <t>Dry Bulb T at Std.Atm.Pr.</t>
  </si>
  <si>
    <t>C5</t>
  </si>
  <si>
    <t>Water Vapor Press. at Saturation</t>
  </si>
  <si>
    <t>pws * 2.041772658</t>
  </si>
  <si>
    <t>Site Alitude of Project (ft)</t>
  </si>
  <si>
    <t>C6</t>
  </si>
  <si>
    <t>P (psi)</t>
  </si>
  <si>
    <t>Entering Pressure (psi)</t>
  </si>
  <si>
    <t>P (in.Hg) * 2.041772658</t>
  </si>
  <si>
    <t>p</t>
  </si>
  <si>
    <t>Atm. Pr. at Site Altit (in.Hg)</t>
  </si>
  <si>
    <t>C7</t>
  </si>
  <si>
    <t>pw</t>
  </si>
  <si>
    <t>Partial Press Water Vapor</t>
  </si>
  <si>
    <t>( P_in.Hg * W ) /  (0.62198 + W )</t>
  </si>
  <si>
    <t>C8</t>
  </si>
  <si>
    <t>T"</t>
  </si>
  <si>
    <t>Absolute Temp (R)</t>
  </si>
  <si>
    <t>t* + 459.67</t>
  </si>
  <si>
    <t>t" (WB)</t>
  </si>
  <si>
    <t>&gt; 32 F</t>
  </si>
  <si>
    <t>C9</t>
  </si>
  <si>
    <t>pws"</t>
  </si>
  <si>
    <t>Satur Water Vap Pr.  ( t &gt; 32 )</t>
  </si>
  <si>
    <t xml:space="preserve">LN(pws") = C8/T + C9 + C10*T + </t>
  </si>
  <si>
    <t>Atmos Pressure (psi)</t>
  </si>
  <si>
    <t>C10</t>
  </si>
  <si>
    <t xml:space="preserve">               C11*T^2 + C12*T^3 + C13*LN(T)</t>
  </si>
  <si>
    <t>C11</t>
  </si>
  <si>
    <t>Ws"</t>
  </si>
  <si>
    <t>Humidity Ratio  ( t &gt; 32 )</t>
  </si>
  <si>
    <t>0.62198 * ( pws" / (P_psi - pws" )</t>
  </si>
  <si>
    <t>C12</t>
  </si>
  <si>
    <t>T</t>
  </si>
  <si>
    <t>t + 459.67</t>
  </si>
  <si>
    <t>Absolute WB Temp (R)</t>
  </si>
  <si>
    <t>C13</t>
  </si>
  <si>
    <t>Humidity Ratio</t>
  </si>
  <si>
    <t xml:space="preserve">( ( 1093 - 0.556*t" ) * Ws" - </t>
  </si>
  <si>
    <t>C14</t>
  </si>
  <si>
    <t xml:space="preserve">        0.24 * (t - t") / ( 1093 + 0.444 * t - t")</t>
  </si>
  <si>
    <t>C15</t>
  </si>
  <si>
    <t>pws</t>
  </si>
  <si>
    <t xml:space="preserve">LN(pws_db) = C8/T + C9 + C10*T + </t>
  </si>
  <si>
    <t>Absolute DB Temp (R)</t>
  </si>
  <si>
    <t>C16</t>
  </si>
  <si>
    <t xml:space="preserve">              C11*T^2 + C12*T^3 + C13*LN(T)</t>
  </si>
  <si>
    <t>C17</t>
  </si>
  <si>
    <t>Ws</t>
  </si>
  <si>
    <t>0.62198 * ( Ws / ( P_psi - Ws) )</t>
  </si>
  <si>
    <t>C18</t>
  </si>
  <si>
    <t>Mole Fraction Water Vapor</t>
  </si>
  <si>
    <t>W/Ws</t>
  </si>
  <si>
    <t>C19</t>
  </si>
  <si>
    <t>Degree of Saturation</t>
  </si>
  <si>
    <t>m / (1- (1-m) * ( pws / P_psi ) )</t>
  </si>
  <si>
    <t>C20</t>
  </si>
  <si>
    <t>LN ( pw * 0.4897705)</t>
  </si>
  <si>
    <t>f (DS)</t>
  </si>
  <si>
    <t>C21</t>
  </si>
  <si>
    <t>Relative Humidity ( % )</t>
  </si>
  <si>
    <t>100 * f</t>
  </si>
  <si>
    <t>td  (DP)</t>
  </si>
  <si>
    <t>Dew Point Temperature ( t &gt; 32 )</t>
  </si>
  <si>
    <t xml:space="preserve">td = C14 + C15*a + C16*a^2 + </t>
  </si>
  <si>
    <t>u (RH)</t>
  </si>
  <si>
    <t>Altitude (Z)</t>
  </si>
  <si>
    <t xml:space="preserve">                   C17*a^3 + C18*pw^0.1984</t>
  </si>
  <si>
    <t>Dew Point Temp  ( t &gt; 32 F )</t>
  </si>
  <si>
    <t>Atmos. Press. (in. Hg) at Alt Z</t>
  </si>
  <si>
    <t>Humidity Ratio (lbs/lb)</t>
  </si>
  <si>
    <t>Atmos. Press. (psi) at Alt Z</t>
  </si>
  <si>
    <t xml:space="preserve">       0.24 * (t - t") / ( 1093 + 0.444 * t - t")</t>
  </si>
  <si>
    <t>Humidity Ratio (grains/lb)</t>
  </si>
  <si>
    <t>Dry Bulb Temp (F) at Alt Z</t>
  </si>
  <si>
    <t xml:space="preserve"> 7000 * W</t>
  </si>
  <si>
    <t>Enthalpy (btu/lb)</t>
  </si>
  <si>
    <t>Humidity Ratio at DB/WB lbs/lb</t>
  </si>
  <si>
    <t>Enthalpy</t>
  </si>
  <si>
    <t>0.24*t + W * (1061 + 0.444*t)</t>
  </si>
  <si>
    <t>Specific Volume (ft3/lb)</t>
  </si>
  <si>
    <t>Vapor Pressure at DB/WB</t>
  </si>
  <si>
    <t>Specific Volume</t>
  </si>
  <si>
    <t>0.7543 * ( T * (1 + 1.6078*W ) ) / P</t>
  </si>
  <si>
    <t>Mole Fraction of Water Vapor</t>
  </si>
  <si>
    <t>Dry Bulb (DB) Temp (F)</t>
  </si>
  <si>
    <t>Pws</t>
  </si>
  <si>
    <t>Satur. Water Vap Press ( &gt; 32 F)</t>
  </si>
  <si>
    <t>Relative Humidity (%)</t>
  </si>
  <si>
    <t>Dew Point Temp ( t &gt; 32  F )</t>
  </si>
  <si>
    <t>Humidity Ratio (lbs/lb) ( &gt; 32 F )</t>
  </si>
  <si>
    <t>t*  (WB)</t>
  </si>
  <si>
    <t>Pws*</t>
  </si>
  <si>
    <t>Ws*</t>
  </si>
  <si>
    <t>High-Rise - Apt-Condo Bldg with operable windows - Ventil-Exhaust - Pressure-Analysis</t>
  </si>
  <si>
    <t>Apt Unit Types - Studio, 1, 2, 3 bedrooms</t>
  </si>
  <si>
    <t>APARTMENT Building:  Schedules / Profiles</t>
  </si>
  <si>
    <t>DOE2 - 0 to 1 (fraction)</t>
  </si>
  <si>
    <t>TRACE - 0 to 100 (percent)</t>
  </si>
  <si>
    <t># units/flr &amp; unit types vary per section &amp; floor</t>
  </si>
  <si>
    <t xml:space="preserve"> Space</t>
  </si>
  <si>
    <t>SF</t>
  </si>
  <si>
    <t xml:space="preserve"> Apartment</t>
  </si>
  <si>
    <t>cfm/SF</t>
  </si>
  <si>
    <t>Diversity/Floor</t>
  </si>
  <si>
    <t>Core-Exhst fan-cfm/Flr</t>
  </si>
  <si>
    <t>Apt Ktchn &amp; Bthrm Exhaust</t>
  </si>
  <si>
    <t>CORE  Exhaust &amp; Supply Air</t>
  </si>
  <si>
    <t>2 Bthr per 2-bdrm &amp; 1-bdrm (1-Riser/Apt)</t>
  </si>
  <si>
    <t>sfK</t>
  </si>
  <si>
    <t>Ktchn</t>
  </si>
  <si>
    <t>sf1</t>
  </si>
  <si>
    <t xml:space="preserve"> 1-Bdrm</t>
  </si>
  <si>
    <t>oaA</t>
  </si>
  <si>
    <t>Apt-Ventil</t>
  </si>
  <si>
    <t>dvA</t>
  </si>
  <si>
    <t>exT</t>
  </si>
  <si>
    <t>Trash Chute</t>
  </si>
  <si>
    <t xml:space="preserve"> Bldg-Sectn - 1</t>
  </si>
  <si>
    <t xml:space="preserve"> Bldg-Sectn - 2</t>
  </si>
  <si>
    <t xml:space="preserve"> Bldg-Sectn - 3</t>
  </si>
  <si>
    <t xml:space="preserve"> Bldg-Sectn - 4</t>
  </si>
  <si>
    <t>Hour No.  (DOE2)</t>
  </si>
  <si>
    <t>Hour No. (TRACE)</t>
  </si>
  <si>
    <t>Hour
From-To</t>
  </si>
  <si>
    <t>People 
(Apt-PPL)</t>
  </si>
  <si>
    <t>Lights 
(Apt-LGT)</t>
  </si>
  <si>
    <t>Equipment
(Apt-EQP)</t>
  </si>
  <si>
    <t>Elevators
(Apt-ELV)</t>
  </si>
  <si>
    <t xml:space="preserve">Domestic
Hot Water 
</t>
  </si>
  <si>
    <t xml:space="preserve">Apt Ventil =
People Schd 
</t>
  </si>
  <si>
    <t xml:space="preserve">Apt Toilet
Exhaust 
</t>
  </si>
  <si>
    <t xml:space="preserve">Apt Kitchen
Exhaust 
</t>
  </si>
  <si>
    <t xml:space="preserve">Core General
Exhaust 
</t>
  </si>
  <si>
    <t xml:space="preserve">Trash Chute
Exhaust 
</t>
  </si>
  <si>
    <t xml:space="preserve">Core Storage
Exhaust
</t>
  </si>
  <si>
    <t xml:space="preserve">Core Laundr
Exhaust 
</t>
  </si>
  <si>
    <t xml:space="preserve">System/AHU
Operatg Sch 
</t>
  </si>
  <si>
    <t xml:space="preserve">Smmr Inside
DB Temp (F) 
</t>
  </si>
  <si>
    <t xml:space="preserve">Heating Unit
Operatg Sch 
</t>
  </si>
  <si>
    <t xml:space="preserve">Wntr Inside 
DB Temp (F) 
</t>
  </si>
  <si>
    <t>1 Bthr per Studio &amp; 1-bdrm (1-Riser/Apt)</t>
  </si>
  <si>
    <t>sfB</t>
  </si>
  <si>
    <t>Bthrm</t>
  </si>
  <si>
    <t>sf2</t>
  </si>
  <si>
    <t xml:space="preserve"> 2-Bdrm</t>
  </si>
  <si>
    <t>exK</t>
  </si>
  <si>
    <t>Kitchn-Exh</t>
  </si>
  <si>
    <t>dvK</t>
  </si>
  <si>
    <t>exS</t>
  </si>
  <si>
    <t>Storg/Lckrs</t>
  </si>
  <si>
    <t>Flrs/Sectn</t>
  </si>
  <si>
    <r>
      <rPr>
        <b/>
        <sz val="14"/>
        <color rgb="FFC00000"/>
        <rFont val="Lucida Sans"/>
        <family val="2"/>
      </rPr>
      <t xml:space="preserve"> (1)</t>
    </r>
    <r>
      <rPr>
        <sz val="11"/>
        <color rgb="FFC00000"/>
        <rFont val="Lucida Sans"/>
        <family val="2"/>
      </rPr>
      <t xml:space="preserve"> Water Source</t>
    </r>
  </si>
  <si>
    <t>1 Ktch per Apt (1-Riser/Apt)</t>
  </si>
  <si>
    <t>sfS</t>
  </si>
  <si>
    <t>Studio</t>
  </si>
  <si>
    <t>sf3</t>
  </si>
  <si>
    <t xml:space="preserve"> 3-Bdrm</t>
  </si>
  <si>
    <t>exB</t>
  </si>
  <si>
    <t>Bthrm-Exh</t>
  </si>
  <si>
    <t>dvB</t>
  </si>
  <si>
    <t>exL</t>
  </si>
  <si>
    <t>Laundry-Rm</t>
  </si>
  <si>
    <t>Kitchen Exh</t>
  </si>
  <si>
    <t>Bathrm Exh</t>
  </si>
  <si>
    <t>Storage Exh</t>
  </si>
  <si>
    <t>Laundry Exh</t>
  </si>
  <si>
    <t>Miscell Exh</t>
  </si>
  <si>
    <t>Supply Air</t>
  </si>
  <si>
    <t xml:space="preserve"> Heat Pumps (WSHP)</t>
  </si>
  <si>
    <t># Bldg-Sctns</t>
  </si>
  <si>
    <t xml:space="preserve">Core-Pressurizition-Ratio (SA/EA) </t>
  </si>
  <si>
    <t>oaC</t>
  </si>
  <si>
    <t>Core-Vent</t>
  </si>
  <si>
    <t>dvC</t>
  </si>
  <si>
    <t>Core-Exh</t>
  </si>
  <si>
    <t>exM</t>
  </si>
  <si>
    <t>Miscellan</t>
  </si>
  <si>
    <t xml:space="preserve"> Stacked Vertically in Closets</t>
  </si>
  <si>
    <t>Ventilation from Corridor</t>
  </si>
  <si>
    <t>Windows closed (HVAC System on) when winter dry bulb temp &lt; 65 degF and summer dew point temp &gt; 55 degF</t>
  </si>
  <si>
    <t>2-Pipe-Risers (WSHP &amp; FCU)</t>
  </si>
  <si>
    <t>Plumbing-Pipe-Risers</t>
  </si>
  <si>
    <t>supplied from under Door</t>
  </si>
  <si>
    <t>Row</t>
  </si>
  <si>
    <t>Column</t>
  </si>
  <si>
    <t>c1</t>
  </si>
  <si>
    <t>c2</t>
  </si>
  <si>
    <t>c3</t>
  </si>
  <si>
    <t>c4</t>
  </si>
  <si>
    <t>C O R E  Areas</t>
  </si>
  <si>
    <t>Services</t>
  </si>
  <si>
    <t xml:space="preserve"> CORE - EA Floor</t>
  </si>
  <si>
    <t>ROOF</t>
  </si>
  <si>
    <t>Flr-Sections</t>
  </si>
  <si>
    <t>S1</t>
  </si>
  <si>
    <t>S2</t>
  </si>
  <si>
    <t>S3</t>
  </si>
  <si>
    <t>S4</t>
  </si>
  <si>
    <t>Corridors</t>
  </si>
  <si>
    <t>TC</t>
  </si>
  <si>
    <t>Trash-Chute</t>
  </si>
  <si>
    <t>Units</t>
  </si>
  <si>
    <t>sf/P</t>
  </si>
  <si>
    <t>W/sf</t>
  </si>
  <si>
    <t>W/Elev</t>
  </si>
  <si>
    <t>gal/P</t>
  </si>
  <si>
    <t>cfm/P</t>
  </si>
  <si>
    <t>cfm/sf</t>
  </si>
  <si>
    <t>MAY - OCT</t>
  </si>
  <si>
    <t>NOV - APR</t>
  </si>
  <si>
    <t>NW</t>
  </si>
  <si>
    <t>N1</t>
  </si>
  <si>
    <t>N2</t>
  </si>
  <si>
    <t>NE</t>
  </si>
  <si>
    <t>r1</t>
  </si>
  <si>
    <t># of Studio Apts</t>
  </si>
  <si>
    <t>Flr-Flr-Trvl</t>
  </si>
  <si>
    <t>GE</t>
  </si>
  <si>
    <t>Miscell-Exh</t>
  </si>
  <si>
    <r>
      <t xml:space="preserve">Flr - </t>
    </r>
    <r>
      <rPr>
        <b/>
        <sz val="12"/>
        <color theme="1"/>
        <rFont val="Calibri"/>
        <family val="2"/>
      </rPr>
      <t>N</t>
    </r>
  </si>
  <si>
    <t>Design Basis &gt;&gt;</t>
  </si>
  <si>
    <t>On/Off</t>
  </si>
  <si>
    <t>Temp</t>
  </si>
  <si>
    <t>Not</t>
  </si>
  <si>
    <t>K</t>
  </si>
  <si>
    <t xml:space="preserve">OA </t>
  </si>
  <si>
    <t>OA</t>
  </si>
  <si>
    <t>r2</t>
  </si>
  <si>
    <t># of 1-Bdr Apts</t>
  </si>
  <si>
    <t>Exh Shaft</t>
  </si>
  <si>
    <t>LE</t>
  </si>
  <si>
    <t>Laundr-Exh</t>
  </si>
  <si>
    <t>Design Value &gt;&gt;</t>
  </si>
  <si>
    <t>0 / 100</t>
  </si>
  <si>
    <t>Used</t>
  </si>
  <si>
    <t>r3</t>
  </si>
  <si>
    <t># of 2-Bdr Apts</t>
  </si>
  <si>
    <t>Outdr Air</t>
  </si>
  <si>
    <t>EE</t>
  </si>
  <si>
    <t>Electric-Exh</t>
  </si>
  <si>
    <t>0 - 1</t>
  </si>
  <si>
    <t>OA - Corrid to Apts Under Door</t>
  </si>
  <si>
    <t>r4</t>
  </si>
  <si>
    <t># of 3-Bdr Apts</t>
  </si>
  <si>
    <t xml:space="preserve"> EA Apartments</t>
  </si>
  <si>
    <t>1 - 2</t>
  </si>
  <si>
    <t>W2</t>
  </si>
  <si>
    <t>Lockers</t>
  </si>
  <si>
    <t>Washers</t>
  </si>
  <si>
    <t>E1</t>
  </si>
  <si>
    <t>r5</t>
  </si>
  <si>
    <t>Core-A  % of Flr</t>
  </si>
  <si>
    <t>Calculations</t>
  </si>
  <si>
    <t>Bathrm-Exh</t>
  </si>
  <si>
    <t>2 - 3</t>
  </si>
  <si>
    <t>Corridor</t>
  </si>
  <si>
    <t>Storage</t>
  </si>
  <si>
    <t>Laundry</t>
  </si>
  <si>
    <t>r6</t>
  </si>
  <si>
    <t># of Kitch Risers</t>
  </si>
  <si>
    <t>r6 = r1 + r2 + r3 + r4</t>
  </si>
  <si>
    <t>Kitchen-Exh</t>
  </si>
  <si>
    <t>Intermediate Floors</t>
  </si>
  <si>
    <t>3 - 4</t>
  </si>
  <si>
    <t>Dryers</t>
  </si>
  <si>
    <t>r7</t>
  </si>
  <si>
    <t># of Bthr Risers</t>
  </si>
  <si>
    <t>r7 = r1 + r2 + 2*r3 + 2*r4</t>
  </si>
  <si>
    <t>4 - 5</t>
  </si>
  <si>
    <t>r8</t>
  </si>
  <si>
    <t>Tot-Apart-Area</t>
  </si>
  <si>
    <t>r8 = r1*sfS + r2*sf1 +r3*sf2 + r4*sf3</t>
  </si>
  <si>
    <t>5 - 6</t>
  </si>
  <si>
    <t>W1</t>
  </si>
  <si>
    <t>ELEVATORS</t>
  </si>
  <si>
    <t>STAIRS</t>
  </si>
  <si>
    <t>E2</t>
  </si>
  <si>
    <t>r9</t>
  </si>
  <si>
    <t>Tot-Core-A  SF</t>
  </si>
  <si>
    <t>r9 = (r8*r5/100) / (1-r5/100)</t>
  </si>
  <si>
    <t>6 - 7</t>
  </si>
  <si>
    <t>Util-Clo</t>
  </si>
  <si>
    <t>r10</t>
  </si>
  <si>
    <t>Tot-Flr-Area  SF</t>
  </si>
  <si>
    <t>r10 = r8 + r9</t>
  </si>
  <si>
    <t>Row-Col #s</t>
  </si>
  <si>
    <r>
      <t xml:space="preserve">Flr - </t>
    </r>
    <r>
      <rPr>
        <b/>
        <sz val="12"/>
        <color theme="1"/>
        <rFont val="Calibri"/>
        <family val="2"/>
      </rPr>
      <t>3</t>
    </r>
  </si>
  <si>
    <t>7 - 8</t>
  </si>
  <si>
    <t>r11</t>
  </si>
  <si>
    <t>Apt Vnt &lt; Corr</t>
  </si>
  <si>
    <t>r1 = r10 * oaA * dvA</t>
  </si>
  <si>
    <t>8 - 9</t>
  </si>
  <si>
    <t>r12</t>
  </si>
  <si>
    <t>Apt-Kitch-Exh</t>
  </si>
  <si>
    <t>r12 = r6 * exK * dvK * sfK</t>
  </si>
  <si>
    <r>
      <t xml:space="preserve">Flr - </t>
    </r>
    <r>
      <rPr>
        <b/>
        <sz val="12"/>
        <color theme="1"/>
        <rFont val="Calibri"/>
        <family val="2"/>
      </rPr>
      <t>2</t>
    </r>
  </si>
  <si>
    <t>9 - 10</t>
  </si>
  <si>
    <t>r13</t>
  </si>
  <si>
    <t>Apt-Bthrm-Exh</t>
  </si>
  <si>
    <t>r13 = r7 * exB * dvB * sfB</t>
  </si>
  <si>
    <t>10 - 11</t>
  </si>
  <si>
    <t>SW</t>
  </si>
  <si>
    <t>SE</t>
  </si>
  <si>
    <t>r14</t>
  </si>
  <si>
    <t>Apt Vnt+Exh</t>
  </si>
  <si>
    <t>r14 = r11 + r12 + r13</t>
  </si>
  <si>
    <t>User Input</t>
  </si>
  <si>
    <r>
      <t xml:space="preserve">Flr - </t>
    </r>
    <r>
      <rPr>
        <b/>
        <sz val="12"/>
        <color theme="1"/>
        <rFont val="Calibri"/>
        <family val="2"/>
      </rPr>
      <t>1</t>
    </r>
  </si>
  <si>
    <t>11 - 12</t>
  </si>
  <si>
    <t>r15</t>
  </si>
  <si>
    <t>Core-Supp-OA</t>
  </si>
  <si>
    <t>r15 = r14 * SA/EA</t>
  </si>
  <si>
    <t>Calculated</t>
  </si>
  <si>
    <t>Bldg-Sectn - 1</t>
  </si>
  <si>
    <t>Bldg-Sectn - 2</t>
  </si>
  <si>
    <t>Bldg-Sectn - 3</t>
  </si>
  <si>
    <t>Bldg-Sectn - 4</t>
  </si>
  <si>
    <t>12 - 13</t>
  </si>
  <si>
    <r>
      <rPr>
        <b/>
        <sz val="11"/>
        <color rgb="FFC00000"/>
        <rFont val="Lucida Sans"/>
        <family val="2"/>
      </rPr>
      <t>Alternate HVAC System</t>
    </r>
    <r>
      <rPr>
        <sz val="11"/>
        <color rgb="FFC00000"/>
        <rFont val="Lucida Sans"/>
        <family val="2"/>
      </rPr>
      <t xml:space="preserve"> =</t>
    </r>
    <r>
      <rPr>
        <b/>
        <sz val="14"/>
        <color rgb="FFC00000"/>
        <rFont val="Lucida Sans"/>
        <family val="2"/>
      </rPr>
      <t xml:space="preserve"> (2)</t>
    </r>
    <r>
      <rPr>
        <sz val="11"/>
        <color rgb="FFC00000"/>
        <rFont val="Lucida Sans"/>
        <family val="2"/>
      </rPr>
      <t xml:space="preserve"> Window A-C Units + Electric Baseboard Heat</t>
    </r>
  </si>
  <si>
    <t>r16</t>
  </si>
  <si>
    <t>Cor-OA-cfm/SF</t>
  </si>
  <si>
    <t>r16 = r15 / r9</t>
  </si>
  <si>
    <t>Aprtmnts</t>
  </si>
  <si>
    <t xml:space="preserve"> Ktch &amp; Bthr Exh</t>
  </si>
  <si>
    <t>Risers/Section    [Exhsts = 1-Trash-Chute, 2-Storage, 3-Laundry, 4-Miscell]      5-Supply-OA</t>
  </si>
  <si>
    <t>13 - 14</t>
  </si>
  <si>
    <t>Site Plan</t>
  </si>
  <si>
    <r>
      <t xml:space="preserve">or </t>
    </r>
    <r>
      <rPr>
        <b/>
        <sz val="12"/>
        <color rgb="FFC00000"/>
        <rFont val="Lucida Sans"/>
        <family val="2"/>
      </rPr>
      <t>(3a)</t>
    </r>
    <r>
      <rPr>
        <sz val="11"/>
        <color rgb="FFC00000"/>
        <rFont val="Lucida Sans"/>
        <family val="2"/>
      </rPr>
      <t xml:space="preserve"> 2-Pipe (Elctr-Htg) or </t>
    </r>
    <r>
      <rPr>
        <b/>
        <sz val="12"/>
        <color rgb="FFC00000"/>
        <rFont val="Lucida Sans"/>
        <family val="2"/>
      </rPr>
      <t>(3b)</t>
    </r>
    <r>
      <rPr>
        <sz val="11"/>
        <color rgb="FFC00000"/>
        <rFont val="Lucida Sans"/>
        <family val="2"/>
      </rPr>
      <t xml:space="preserve"> 4-Pipe (HW-Htg) Fan-Coil Units (FCU) or</t>
    </r>
    <r>
      <rPr>
        <b/>
        <sz val="12"/>
        <color rgb="FFC00000"/>
        <rFont val="Lucida Sans"/>
        <family val="2"/>
      </rPr>
      <t xml:space="preserve"> </t>
    </r>
    <r>
      <rPr>
        <b/>
        <sz val="14"/>
        <color rgb="FFC00000"/>
        <rFont val="Lucida Sans"/>
        <family val="2"/>
      </rPr>
      <t>(4)</t>
    </r>
    <r>
      <rPr>
        <sz val="11"/>
        <color rgb="FFC00000"/>
        <rFont val="Lucida Sans"/>
        <family val="2"/>
      </rPr>
      <t xml:space="preserve"> Central HVAC System (heating &amp; cooling)</t>
    </r>
  </si>
  <si>
    <t>Ktch-Bthr</t>
  </si>
  <si>
    <t># Ktc Risers</t>
  </si>
  <si>
    <t>1-Trash</t>
  </si>
  <si>
    <t>14 - 15</t>
  </si>
  <si>
    <t>N  Street</t>
  </si>
  <si>
    <t>Bldg-Apt Complex</t>
  </si>
  <si>
    <t>Ktch Exh</t>
  </si>
  <si>
    <t>Trash Fan-SP</t>
  </si>
  <si>
    <t>15 - 16</t>
  </si>
  <si>
    <t>Elevation</t>
  </si>
  <si>
    <t>Sections</t>
  </si>
  <si>
    <t>Divers</t>
  </si>
  <si>
    <t>Ktch Fan-SP</t>
  </si>
  <si>
    <t>2-Storage</t>
  </si>
  <si>
    <t>16 - 17</t>
  </si>
  <si>
    <t>X  Avenue</t>
  </si>
  <si>
    <t>Z  Avenue</t>
  </si>
  <si>
    <t>r21</t>
  </si>
  <si>
    <t>Bth Risers</t>
  </si>
  <si>
    <t>Storg Fan-SP</t>
  </si>
  <si>
    <t>17 - 18</t>
  </si>
  <si>
    <t>Court</t>
  </si>
  <si>
    <t>r22</t>
  </si>
  <si>
    <t>Sctn Flr SF</t>
  </si>
  <si>
    <t>Flr-A = r21 * r10</t>
  </si>
  <si>
    <t>Bthr Exh</t>
  </si>
  <si>
    <t>3-Laundry</t>
  </si>
  <si>
    <t>18 - 19</t>
  </si>
  <si>
    <t>Yard</t>
  </si>
  <si>
    <t>r23</t>
  </si>
  <si>
    <t>Apt-Vent</t>
  </si>
  <si>
    <t>Ap-V = r23 * r21 * r11</t>
  </si>
  <si>
    <t>Bthr Fan-SP</t>
  </si>
  <si>
    <t>Lndry Fan-SP</t>
  </si>
  <si>
    <t>19 - 20</t>
  </si>
  <si>
    <t>r24</t>
  </si>
  <si>
    <t>Kitchn Exh</t>
  </si>
  <si>
    <t>Kt-Ex = r24 * r21 * r12</t>
  </si>
  <si>
    <t>Apt Vnt</t>
  </si>
  <si>
    <t>4-Miscell</t>
  </si>
  <si>
    <t>20 - 21</t>
  </si>
  <si>
    <t>r25</t>
  </si>
  <si>
    <t>Bthrm Exh</t>
  </si>
  <si>
    <t>Bt-Ex = r25 * r21 * r13</t>
  </si>
  <si>
    <t>Apt Exh</t>
  </si>
  <si>
    <t>Miscl Fan-SP</t>
  </si>
  <si>
    <t>21 - 22</t>
  </si>
  <si>
    <t>N+1  Street</t>
  </si>
  <si>
    <t>Sctn-1</t>
  </si>
  <si>
    <t>Sctn-2</t>
  </si>
  <si>
    <t>Sctn-3</t>
  </si>
  <si>
    <t>Sctn-4</t>
  </si>
  <si>
    <t>r26</t>
  </si>
  <si>
    <t>Core-Exhst</t>
  </si>
  <si>
    <t>Cr-Ex = r26 * r21 * r14</t>
  </si>
  <si>
    <t>Bldg (all sections) Ventil Air (cfm)</t>
  </si>
  <si>
    <t>5-OA</t>
  </si>
  <si>
    <t>22 - 23</t>
  </si>
  <si>
    <t>Lobby-Services-Offices-Garage</t>
  </si>
  <si>
    <t>r27</t>
  </si>
  <si>
    <t>Cor-Apt-OA</t>
  </si>
  <si>
    <t>Ap-SA  r27 * r21 * r15</t>
  </si>
  <si>
    <t>Bldg (all sections) Exhaust Air (cfm)</t>
  </si>
  <si>
    <t>Core-Pressurization</t>
  </si>
  <si>
    <t>S-OA Fan-SP</t>
  </si>
  <si>
    <t>23 - 24</t>
  </si>
  <si>
    <t>Floor-Ceiling Height (ft)</t>
  </si>
  <si>
    <t>Percent Window Area (%)</t>
  </si>
  <si>
    <t>Perimeter Length</t>
  </si>
  <si>
    <t>Core</t>
  </si>
  <si>
    <t>Perimeter Zone (PZ)</t>
  </si>
  <si>
    <t>Interior Zone (IZ)</t>
  </si>
  <si>
    <t>Zone</t>
  </si>
  <si>
    <t>Length (L)</t>
  </si>
  <si>
    <t>Width (W)</t>
  </si>
  <si>
    <t>Rectangle</t>
  </si>
  <si>
    <t>Circle</t>
  </si>
  <si>
    <t>Oval</t>
  </si>
  <si>
    <t>Area : A = L * W</t>
  </si>
  <si>
    <t xml:space="preserve">Area : A = PI *R^2 </t>
  </si>
  <si>
    <t>Perimeter : P = 2 * (L+W)</t>
  </si>
  <si>
    <t>Perimeter: P = 2 * PI * R</t>
  </si>
  <si>
    <t>Area (approx) : A = PI * a * b</t>
  </si>
  <si>
    <t>No.  of Windows per Bay</t>
  </si>
  <si>
    <r>
      <t>Perimeter : P = 2*PI * { (a</t>
    </r>
    <r>
      <rPr>
        <b/>
        <vertAlign val="superscript"/>
        <sz val="12"/>
        <color rgb="FF002060"/>
        <rFont val="Calibri"/>
        <family val="2"/>
      </rPr>
      <t>2</t>
    </r>
    <r>
      <rPr>
        <b/>
        <sz val="12"/>
        <color rgb="FF002060"/>
        <rFont val="Calibri"/>
        <family val="2"/>
      </rPr>
      <t>+b</t>
    </r>
    <r>
      <rPr>
        <b/>
        <vertAlign val="superscript"/>
        <sz val="12"/>
        <color rgb="FF002060"/>
        <rFont val="Calibri"/>
        <family val="2"/>
      </rPr>
      <t>2</t>
    </r>
    <r>
      <rPr>
        <b/>
        <sz val="12"/>
        <color rgb="FF002060"/>
        <rFont val="Calibri"/>
        <family val="2"/>
      </rPr>
      <t>) / 2 }</t>
    </r>
    <r>
      <rPr>
        <b/>
        <vertAlign val="superscript"/>
        <sz val="12"/>
        <color rgb="FF002060"/>
        <rFont val="Calibri"/>
        <family val="2"/>
      </rPr>
      <t>0.5</t>
    </r>
  </si>
  <si>
    <t>Elevation View of Envelope</t>
  </si>
  <si>
    <t>Exhaust (cfm/ft2 Core-Zn)</t>
  </si>
  <si>
    <t>Element ID</t>
  </si>
  <si>
    <t>Mean</t>
  </si>
  <si>
    <t>Restaurants</t>
  </si>
  <si>
    <t>MECHANICAL Flr</t>
  </si>
  <si>
    <t>2-level Atrium</t>
  </si>
  <si>
    <t>Banking Trading</t>
  </si>
  <si>
    <t>Offices</t>
  </si>
  <si>
    <t>Apartments</t>
  </si>
  <si>
    <t>Restaurant</t>
  </si>
  <si>
    <t>PROJECT Data</t>
  </si>
  <si>
    <t>8-din</t>
  </si>
  <si>
    <t>7-Apt</t>
  </si>
  <si>
    <t>6-Htl</t>
  </si>
  <si>
    <t>5-Srv</t>
  </si>
  <si>
    <t>4-Ofc</t>
  </si>
  <si>
    <t>3-Fin</t>
  </si>
  <si>
    <t>2-Rtl</t>
  </si>
  <si>
    <t>1-Grd</t>
  </si>
  <si>
    <t>Floor Type</t>
  </si>
  <si>
    <t>SCTN (max=5 chars) &gt;&gt;</t>
  </si>
  <si>
    <t>Leakage Air Flow Coeff. Cd</t>
  </si>
  <si>
    <t>DESIGN Data</t>
  </si>
  <si>
    <t>Building Type</t>
  </si>
  <si>
    <t>Tall Mixed-Use Building (Description)</t>
  </si>
  <si>
    <t>Avg Envelope Leakage (%)</t>
  </si>
  <si>
    <t>Wnd Dir (0-360)</t>
  </si>
  <si>
    <t>Number of Section Floors</t>
  </si>
  <si>
    <t>Core Area (%)</t>
  </si>
  <si>
    <t xml:space="preserve">Mechan Flr-Flr-H </t>
  </si>
  <si>
    <t>Perim-Zone-D</t>
  </si>
  <si>
    <t>FRWNMACA</t>
  </si>
  <si>
    <t>FRWNWDCA</t>
  </si>
  <si>
    <t>WNDBNW</t>
  </si>
  <si>
    <t>WNDBWE</t>
  </si>
  <si>
    <t>WNDBWESM</t>
  </si>
  <si>
    <t>WNSISHWE</t>
  </si>
  <si>
    <t>WNSISLAL</t>
  </si>
  <si>
    <t>WNSISLWD</t>
  </si>
  <si>
    <t>WNSLALWE</t>
  </si>
  <si>
    <t>WNSLNW</t>
  </si>
  <si>
    <t>WNSLWDWE</t>
  </si>
  <si>
    <t>WNIO6A</t>
  </si>
  <si>
    <t>WNOO6C</t>
  </si>
  <si>
    <t>WLEXCC</t>
  </si>
  <si>
    <t>WLEXPC</t>
  </si>
  <si>
    <t>WLEXMA</t>
  </si>
  <si>
    <t>WLEXCP</t>
  </si>
  <si>
    <t>WLEXFRMA</t>
  </si>
  <si>
    <t>WLEXFR</t>
  </si>
  <si>
    <t>WLEXMN</t>
  </si>
  <si>
    <t>WLEXME</t>
  </si>
  <si>
    <t>WLEXCW</t>
  </si>
  <si>
    <t>WLEXOF</t>
  </si>
  <si>
    <t>WLEXRE</t>
  </si>
  <si>
    <t>WLEXRS</t>
  </si>
  <si>
    <t>WLEXSP</t>
  </si>
  <si>
    <t>WLEXID</t>
  </si>
  <si>
    <t>WLEXAS</t>
  </si>
  <si>
    <t>WLEXSC</t>
  </si>
  <si>
    <t>WLEXHC</t>
  </si>
  <si>
    <t>WLEXPC6A</t>
  </si>
  <si>
    <t>WLEXTV6AA</t>
  </si>
  <si>
    <t>EW, masonry</t>
  </si>
  <si>
    <t>EW, concrete panel</t>
  </si>
  <si>
    <t>EW, frame/masonry</t>
  </si>
  <si>
    <t>EW, frame</t>
  </si>
  <si>
    <t>EW, manufactured</t>
  </si>
  <si>
    <t>EW, metal</t>
  </si>
  <si>
    <t>EW, curtain wall</t>
  </si>
  <si>
    <t>EW, office bldg</t>
  </si>
  <si>
    <t>EW, school</t>
  </si>
  <si>
    <t>EW, industrial bldg</t>
  </si>
  <si>
    <t>EW, retail</t>
  </si>
  <si>
    <t>EW, restaurant</t>
  </si>
  <si>
    <t>EW, assembly</t>
  </si>
  <si>
    <t>EW, healthcare</t>
  </si>
  <si>
    <t>EW, sports facility</t>
  </si>
  <si>
    <t>EW, cast-in-place concrete</t>
  </si>
  <si>
    <t>EW, precast concrete panel</t>
  </si>
  <si>
    <t>Exterior Wall (EW)</t>
  </si>
  <si>
    <t>W framing, masonry, caulked</t>
  </si>
  <si>
    <t>W framing, wood, caulked</t>
  </si>
  <si>
    <t>WNDBNWM</t>
  </si>
  <si>
    <t>W Inoperable, Building A</t>
  </si>
  <si>
    <t>W Operable, Building C</t>
  </si>
  <si>
    <t xml:space="preserve">National Institute of Standards &amp; Technology - CONTAM Library - </t>
  </si>
  <si>
    <t>Appendix C: Commercial &amp; Institutional  Building Airtightness Data</t>
  </si>
  <si>
    <t>EW: Precast concrete panel</t>
  </si>
  <si>
    <t>EW: Tile veneer</t>
  </si>
  <si>
    <t>W, dbl hung, no wthrstrp</t>
  </si>
  <si>
    <t>W, dbl hung with storm, no wthrstrp</t>
  </si>
  <si>
    <t>W, dbl hung, wthrstrp</t>
  </si>
  <si>
    <t>W, dbl hung with storm, wthrstrp</t>
  </si>
  <si>
    <t>W, dbl horiz slider, alum, wthrstrp</t>
  </si>
  <si>
    <t>W, dbl horiz slider, no wthrstrp</t>
  </si>
  <si>
    <t>W, sngl hung, wthrstrp</t>
  </si>
  <si>
    <t>W, sngl horiz slider, alum</t>
  </si>
  <si>
    <t>W, sngl horiz slider, wood</t>
  </si>
  <si>
    <t>W, dbl horiz slider, wood, wthrstrp</t>
  </si>
  <si>
    <t>MECHANICAL</t>
  </si>
  <si>
    <t>Stack Effect &amp; Wind Press Infltration</t>
  </si>
  <si>
    <t xml:space="preserve">Building Pressurization - </t>
  </si>
  <si>
    <t>Avg Envl Leakg Area (ft2/ft2)</t>
  </si>
  <si>
    <t>ft2/ft2</t>
  </si>
  <si>
    <t>Column Dist (ft)</t>
  </si>
  <si>
    <t>Window Unit Width (ft)</t>
  </si>
  <si>
    <t>Window Unit Height (ft)</t>
  </si>
  <si>
    <t>Envelope Perim Length (ft)</t>
  </si>
  <si>
    <t xml:space="preserve"> Distance between Columns (Bay)</t>
  </si>
  <si>
    <t>Column Width</t>
  </si>
  <si>
    <t>Floor Depth</t>
  </si>
  <si>
    <t xml:space="preserve"> Flr-Flr-H</t>
  </si>
  <si>
    <t xml:space="preserve"> Flr-Celg-H</t>
  </si>
  <si>
    <t>Curtain Wall Panel</t>
  </si>
  <si>
    <t>WLELCC14A</t>
  </si>
  <si>
    <t>WLSRCC14C</t>
  </si>
  <si>
    <t>Stair shaft wall, cast-in-place concr</t>
  </si>
  <si>
    <t>Elev shaft wall, cast-in-place concr</t>
  </si>
  <si>
    <t>FLCO15</t>
  </si>
  <si>
    <t>Floor: Office Bldg, reinforced concr</t>
  </si>
  <si>
    <t>Windows (W)</t>
  </si>
  <si>
    <t>DREXFRWD</t>
  </si>
  <si>
    <t>Door, exterior, wood, frame, typical</t>
  </si>
  <si>
    <t>DREXSLGL</t>
  </si>
  <si>
    <t>DREX_R</t>
  </si>
  <si>
    <t>Door, exterior</t>
  </si>
  <si>
    <t>DREX_RM</t>
  </si>
  <si>
    <t>Door, exterior (MH)</t>
  </si>
  <si>
    <t>Door, exterior, sliding glass, typical</t>
  </si>
  <si>
    <t>Panel Width</t>
  </si>
  <si>
    <t>Window Area per Bay (ft2)</t>
  </si>
  <si>
    <t>Wall Leakage Area (ft2 / ft2)</t>
  </si>
  <si>
    <t>Window Area per Floor (ft2)</t>
  </si>
  <si>
    <t>Wall+Wndw Area / Bay (ft2)</t>
  </si>
  <si>
    <t>Wall+Wndw Area / Floor (ft2)</t>
  </si>
  <si>
    <t>Wall Leakage Area (ft2)</t>
  </si>
  <si>
    <t>Window Leakage Area (ft2)</t>
  </si>
  <si>
    <t>Perim-Zone Sup Air (cfm / flr)</t>
  </si>
  <si>
    <t>Inter-Zone Sup Air (cfm / flr)</t>
  </si>
  <si>
    <t>Core-Zone Sup Air (cfm / flr)</t>
  </si>
  <si>
    <t>Core Exhaust Air (cfm / flr)</t>
  </si>
  <si>
    <t>Ventil Air Supply (cfm / flr)</t>
  </si>
  <si>
    <t>Total Supply Air (cfm / flr)</t>
  </si>
  <si>
    <t>Inter-Zone Sup Air (cfm / ft2)</t>
  </si>
  <si>
    <t>Core-Zone Sup Air (cfm / ft2)</t>
  </si>
  <si>
    <t>Section Ht (ft)</t>
  </si>
  <si>
    <t>Wndw Area (%)</t>
  </si>
  <si>
    <t>S-Flr-Area (ft2)</t>
  </si>
  <si>
    <r>
      <rPr>
        <b/>
        <sz val="14"/>
        <color theme="1"/>
        <rFont val="Calibri"/>
        <family val="2"/>
      </rPr>
      <t>A</t>
    </r>
    <r>
      <rPr>
        <sz val="14"/>
        <color theme="1"/>
        <rFont val="Calibri"/>
        <family val="2"/>
      </rPr>
      <t xml:space="preserve"> = Infltr cfm / ft2 Envel Area</t>
    </r>
  </si>
  <si>
    <r>
      <rPr>
        <b/>
        <sz val="14"/>
        <color theme="1"/>
        <rFont val="Calibri"/>
        <family val="2"/>
      </rPr>
      <t>B</t>
    </r>
    <r>
      <rPr>
        <sz val="14"/>
        <color theme="1"/>
        <rFont val="Calibri"/>
        <family val="2"/>
      </rPr>
      <t xml:space="preserve"> = ft2 / ft2 Leakage Area</t>
    </r>
  </si>
  <si>
    <t>Clg-DD</t>
  </si>
  <si>
    <t>Flrs/S</t>
  </si>
  <si>
    <t>Per-L</t>
  </si>
  <si>
    <t xml:space="preserve"> Temp Drop with Altitude</t>
  </si>
  <si>
    <t>Bldg Pressuriz (Indr Press - Outdr Press)</t>
  </si>
  <si>
    <r>
      <t>T</t>
    </r>
    <r>
      <rPr>
        <vertAlign val="sub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 xml:space="preserve"> (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>R) , Ti (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>R)</t>
    </r>
  </si>
  <si>
    <t>SpHt-A</t>
  </si>
  <si>
    <t>cfm</t>
  </si>
  <si>
    <t>in.wg</t>
  </si>
  <si>
    <t>Data</t>
  </si>
  <si>
    <t>Appr. Sctn-Infltr (cfm)</t>
  </si>
  <si>
    <t>Coolg/yr = CFM*1.08*CDD</t>
  </si>
  <si>
    <t>Appr. Sctn Infltr (tons)</t>
  </si>
  <si>
    <t>Floor-Envel-Area (ft2)</t>
  </si>
  <si>
    <t>Infiltration</t>
  </si>
  <si>
    <t>Exfiltration</t>
  </si>
  <si>
    <t>Summer  -  Infiltr-Exfiltr - Q cfm  -  Design-Day</t>
  </si>
  <si>
    <r>
      <t>∆P</t>
    </r>
    <r>
      <rPr>
        <vertAlign val="subscript"/>
        <sz val="12"/>
        <rFont val="Calibri"/>
        <family val="2"/>
        <scheme val="minor"/>
      </rPr>
      <t>S</t>
    </r>
    <r>
      <rPr>
        <sz val="12"/>
        <rFont val="Calibri"/>
        <family val="2"/>
        <scheme val="minor"/>
      </rPr>
      <t xml:space="preserve"> = C</t>
    </r>
    <r>
      <rPr>
        <vertAlign val="sub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>*ρ</t>
    </r>
    <r>
      <rPr>
        <vertAlign val="subscript"/>
        <sz val="12"/>
        <rFont val="Calibri"/>
        <family val="2"/>
        <scheme val="minor"/>
      </rPr>
      <t>O</t>
    </r>
    <r>
      <rPr>
        <sz val="12"/>
        <rFont val="Calibri"/>
        <family val="2"/>
        <scheme val="minor"/>
      </rPr>
      <t>* [ (T</t>
    </r>
    <r>
      <rPr>
        <vertAlign val="subscript"/>
        <sz val="12"/>
        <rFont val="Calibri"/>
        <family val="2"/>
        <scheme val="minor"/>
      </rPr>
      <t>O</t>
    </r>
    <r>
      <rPr>
        <sz val="12"/>
        <rFont val="Calibri"/>
        <family val="2"/>
        <scheme val="minor"/>
      </rPr>
      <t xml:space="preserve"> - T</t>
    </r>
    <r>
      <rPr>
        <vertAlign val="subscript"/>
        <sz val="12"/>
        <rFont val="Calibri"/>
        <family val="2"/>
        <scheme val="minor"/>
      </rPr>
      <t>I</t>
    </r>
    <r>
      <rPr>
        <sz val="12"/>
        <rFont val="Calibri"/>
        <family val="2"/>
        <scheme val="minor"/>
      </rPr>
      <t>) / T</t>
    </r>
    <r>
      <rPr>
        <vertAlign val="subscript"/>
        <sz val="12"/>
        <rFont val="Calibri"/>
        <family val="2"/>
        <scheme val="minor"/>
      </rPr>
      <t>I</t>
    </r>
    <r>
      <rPr>
        <sz val="12"/>
        <rFont val="Calibri"/>
        <family val="2"/>
        <scheme val="minor"/>
      </rPr>
      <t xml:space="preserve"> ] * g * (H</t>
    </r>
    <r>
      <rPr>
        <vertAlign val="subscript"/>
        <sz val="12"/>
        <rFont val="Calibri"/>
        <family val="2"/>
        <scheme val="minor"/>
      </rPr>
      <t>NPL</t>
    </r>
    <r>
      <rPr>
        <sz val="12"/>
        <rFont val="Calibri"/>
        <family val="2"/>
        <scheme val="minor"/>
      </rPr>
      <t xml:space="preserve"> - H)</t>
    </r>
  </si>
  <si>
    <r>
      <t xml:space="preserve"> Q = C</t>
    </r>
    <r>
      <rPr>
        <vertAlign val="subscript"/>
        <sz val="12"/>
        <rFont val="Calibri"/>
        <family val="2"/>
        <scheme val="minor"/>
      </rPr>
      <t>d</t>
    </r>
    <r>
      <rPr>
        <sz val="12"/>
        <rFont val="Calibri"/>
        <family val="2"/>
        <scheme val="minor"/>
      </rPr>
      <t xml:space="preserve"> * A * ( 2 * ∆P/d )</t>
    </r>
    <r>
      <rPr>
        <vertAlign val="superscript"/>
        <sz val="12"/>
        <rFont val="Calibri"/>
        <family val="2"/>
        <scheme val="minor"/>
      </rPr>
      <t>0.5</t>
    </r>
  </si>
  <si>
    <r>
      <t>∆P</t>
    </r>
    <r>
      <rPr>
        <vertAlign val="subscript"/>
        <sz val="12"/>
        <rFont val="Calibri"/>
        <family val="2"/>
        <scheme val="minor"/>
      </rPr>
      <t>W</t>
    </r>
    <r>
      <rPr>
        <sz val="12"/>
        <rFont val="Calibri"/>
        <family val="2"/>
        <scheme val="minor"/>
      </rPr>
      <t xml:space="preserve"> = C</t>
    </r>
    <r>
      <rPr>
        <vertAlign val="sub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* s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* C</t>
    </r>
    <r>
      <rPr>
        <vertAlign val="subscript"/>
        <sz val="12"/>
        <rFont val="Calibri"/>
        <family val="2"/>
        <scheme val="minor"/>
      </rPr>
      <t>P</t>
    </r>
    <r>
      <rPr>
        <sz val="12"/>
        <rFont val="Calibri"/>
        <family val="2"/>
        <scheme val="minor"/>
      </rPr>
      <t xml:space="preserve"> * ρ</t>
    </r>
    <r>
      <rPr>
        <vertAlign val="subscript"/>
        <sz val="12"/>
        <rFont val="Calibri"/>
        <family val="2"/>
        <scheme val="minor"/>
      </rPr>
      <t>O</t>
    </r>
    <r>
      <rPr>
        <sz val="12"/>
        <rFont val="Calibri"/>
        <family val="2"/>
        <scheme val="minor"/>
      </rPr>
      <t xml:space="preserve"> * (U</t>
    </r>
    <r>
      <rPr>
        <vertAlign val="subscript"/>
        <sz val="12"/>
        <rFont val="Calibri"/>
        <family val="2"/>
        <scheme val="minor"/>
      </rPr>
      <t>H</t>
    </r>
    <r>
      <rPr>
        <sz val="12"/>
        <rFont val="Calibri"/>
        <family val="2"/>
        <scheme val="minor"/>
      </rPr>
      <t>)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/ 2</t>
    </r>
  </si>
  <si>
    <t>OR Non-Rectg Floor-A (ft2)</t>
  </si>
  <si>
    <t>OR Non-Rectg Flr Perm (ft)</t>
  </si>
  <si>
    <t>OR   Window Area (%)</t>
  </si>
  <si>
    <t>OR Exhaust / floor (cfm)</t>
  </si>
  <si>
    <t>SMMR: Infltr cfm/sf Envel-A</t>
  </si>
  <si>
    <t>WNTR: Infltr cfm/sf Envel-A</t>
  </si>
  <si>
    <t>ft</t>
  </si>
  <si>
    <t>Occup / Floor Area (P / ft2)</t>
  </si>
  <si>
    <t>Site Altit (ft) ref Sea Level</t>
  </si>
  <si>
    <t>Wndw Leakg Area (ft2 / ft2)</t>
  </si>
  <si>
    <t>Outdr Air / Person (cfm / P)</t>
  </si>
  <si>
    <t>Perm-Zone Sup Air (cfm / ft2)</t>
  </si>
  <si>
    <t>Envl Leakg Area / Floor (ft2)</t>
  </si>
  <si>
    <t>SMMR: Infltr - cfm / Section</t>
  </si>
  <si>
    <t>WNTR: Infltr - cfm / Section</t>
  </si>
  <si>
    <t>Max</t>
  </si>
  <si>
    <t>Exterior Doors (ED)</t>
  </si>
  <si>
    <t>Leakg  ( ft2 / ft2 )</t>
  </si>
  <si>
    <t>Leakg  ( cm2 / m2 )</t>
  </si>
  <si>
    <t>Air-Systm</t>
  </si>
  <si>
    <t>Bldg-Model</t>
  </si>
  <si>
    <t>% Lkg-A</t>
  </si>
  <si>
    <t>Dens</t>
  </si>
  <si>
    <t>Enth</t>
  </si>
  <si>
    <r>
      <t>Mech Floor in Section (</t>
    </r>
    <r>
      <rPr>
        <b/>
        <sz val="15"/>
        <color theme="1"/>
        <rFont val="Calibri"/>
        <family val="2"/>
      </rPr>
      <t>Y/N</t>
    </r>
    <r>
      <rPr>
        <sz val="15"/>
        <color theme="1"/>
        <rFont val="Calibri"/>
        <family val="2"/>
      </rPr>
      <t>)</t>
    </r>
  </si>
  <si>
    <r>
      <t>Indr-Outdr PD (in.wg) P</t>
    </r>
    <r>
      <rPr>
        <vertAlign val="subscript"/>
        <sz val="15"/>
        <color theme="1"/>
        <rFont val="Calibri"/>
        <family val="2"/>
      </rPr>
      <t>I</t>
    </r>
    <r>
      <rPr>
        <sz val="15"/>
        <color theme="1"/>
        <rFont val="Calibri"/>
        <family val="2"/>
      </rPr>
      <t xml:space="preserve"> - P</t>
    </r>
    <r>
      <rPr>
        <vertAlign val="subscript"/>
        <sz val="15"/>
        <color theme="1"/>
        <rFont val="Calibri"/>
        <family val="2"/>
      </rPr>
      <t>O</t>
    </r>
  </si>
  <si>
    <t>Coolg</t>
  </si>
  <si>
    <t>Load /</t>
  </si>
  <si>
    <t>Year</t>
  </si>
  <si>
    <t>Building Model Summary</t>
  </si>
  <si>
    <t>Infiltration per Vertical Bldg Sections</t>
  </si>
  <si>
    <t>At Sea-Level</t>
  </si>
  <si>
    <t xml:space="preserve"> Outdr Std. Atm. Press. @ Altit</t>
  </si>
  <si>
    <t>Wnd V</t>
  </si>
  <si>
    <t>Htg-DD</t>
  </si>
  <si>
    <t>Outdr-Air from Sheet 'SMMR-Calcs'</t>
  </si>
  <si>
    <t>Outdr-Air from Sheet 'WNTR-Calcs'</t>
  </si>
  <si>
    <t>WINTER</t>
  </si>
  <si>
    <t>Winter  -  Infiltr-Exfiltr - Q cfm  -  Design-Day</t>
  </si>
  <si>
    <t>Q/ EnA</t>
  </si>
  <si>
    <t xml:space="preserve">Totl Envl-Area </t>
  </si>
  <si>
    <t xml:space="preserve">Totl Leakg-Area </t>
  </si>
  <si>
    <t>Totl Bldg-Area</t>
  </si>
  <si>
    <t>Prefabricated (manuf.)</t>
  </si>
  <si>
    <t>Wind Pr. above OA Press (in.wg)</t>
  </si>
  <si>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R=460+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F</t>
    </r>
  </si>
  <si>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K=273+</t>
    </r>
    <r>
      <rPr>
        <vertAlign val="superscript"/>
        <sz val="12"/>
        <color theme="1"/>
        <rFont val="Calibri"/>
        <family val="2"/>
      </rPr>
      <t>O</t>
    </r>
    <r>
      <rPr>
        <sz val="12"/>
        <color theme="1"/>
        <rFont val="Calibri"/>
        <family val="2"/>
      </rPr>
      <t>C</t>
    </r>
  </si>
  <si>
    <r>
      <t xml:space="preserve"> C</t>
    </r>
    <r>
      <rPr>
        <vertAlign val="subscript"/>
        <sz val="16"/>
        <color theme="1"/>
        <rFont val="Calibri"/>
        <family val="2"/>
      </rPr>
      <t>2</t>
    </r>
    <r>
      <rPr>
        <sz val="16"/>
        <color theme="1"/>
        <rFont val="Calibri"/>
        <family val="2"/>
      </rPr>
      <t xml:space="preserve"> * ρ</t>
    </r>
    <r>
      <rPr>
        <vertAlign val="subscript"/>
        <sz val="16"/>
        <color theme="1"/>
        <rFont val="Calibri"/>
        <family val="2"/>
      </rPr>
      <t>O</t>
    </r>
    <r>
      <rPr>
        <sz val="16"/>
        <color theme="1"/>
        <rFont val="Calibri"/>
        <family val="2"/>
      </rPr>
      <t>* g =</t>
    </r>
  </si>
  <si>
    <r>
      <t>Grnd Temp = T</t>
    </r>
    <r>
      <rPr>
        <b/>
        <vertAlign val="subscript"/>
        <sz val="16"/>
        <rFont val="Calibri"/>
        <family val="2"/>
        <scheme val="minor"/>
      </rPr>
      <t>G</t>
    </r>
    <r>
      <rPr>
        <b/>
        <sz val="16"/>
        <rFont val="Calibri"/>
        <family val="2"/>
        <scheme val="minor"/>
      </rPr>
      <t xml:space="preserve"> F</t>
    </r>
  </si>
  <si>
    <r>
      <t>Grnd Temp = T</t>
    </r>
    <r>
      <rPr>
        <b/>
        <vertAlign val="subscript"/>
        <sz val="16"/>
        <rFont val="Calibri"/>
        <family val="2"/>
        <scheme val="minor"/>
      </rPr>
      <t>G</t>
    </r>
    <r>
      <rPr>
        <b/>
        <sz val="16"/>
        <rFont val="Calibri"/>
        <family val="2"/>
        <scheme val="minor"/>
      </rPr>
      <t xml:space="preserve"> C</t>
    </r>
  </si>
  <si>
    <r>
      <t>T</t>
    </r>
    <r>
      <rPr>
        <sz val="16"/>
        <rFont val="Calibri"/>
        <family val="2"/>
      </rPr>
      <t xml:space="preserve"> = T</t>
    </r>
    <r>
      <rPr>
        <vertAlign val="subscript"/>
        <sz val="16"/>
        <rFont val="Calibri"/>
        <family val="2"/>
      </rPr>
      <t>G</t>
    </r>
    <r>
      <rPr>
        <sz val="16"/>
        <rFont val="Calibri"/>
        <family val="2"/>
      </rPr>
      <t xml:space="preserve"> - 0.00356 * H</t>
    </r>
  </si>
  <si>
    <r>
      <t>T</t>
    </r>
    <r>
      <rPr>
        <sz val="16"/>
        <rFont val="Calibri"/>
        <family val="2"/>
      </rPr>
      <t xml:space="preserve"> = T</t>
    </r>
    <r>
      <rPr>
        <vertAlign val="subscript"/>
        <sz val="16"/>
        <rFont val="Calibri"/>
        <family val="2"/>
      </rPr>
      <t>G</t>
    </r>
    <r>
      <rPr>
        <sz val="16"/>
        <rFont val="Calibri"/>
        <family val="2"/>
      </rPr>
      <t xml:space="preserve"> - 0.00649 * H</t>
    </r>
  </si>
  <si>
    <r>
      <rPr>
        <b/>
        <sz val="16"/>
        <color theme="1"/>
        <rFont val="Calibri"/>
        <family val="2"/>
        <scheme val="minor"/>
      </rPr>
      <t>D</t>
    </r>
    <r>
      <rPr>
        <sz val="16"/>
        <color theme="1"/>
        <rFont val="Calibri"/>
        <family val="2"/>
        <scheme val="minor"/>
      </rPr>
      <t xml:space="preserve"> = 2.7 * PSIa / (T + 459.7) </t>
    </r>
  </si>
  <si>
    <r>
      <t>D</t>
    </r>
    <r>
      <rPr>
        <sz val="16"/>
        <rFont val="Calibri"/>
        <family val="2"/>
      </rPr>
      <t xml:space="preserve"> = P / (</t>
    </r>
    <r>
      <rPr>
        <b/>
        <sz val="16"/>
        <color indexed="12"/>
        <rFont val="Calibri"/>
        <family val="2"/>
      </rPr>
      <t xml:space="preserve"> </t>
    </r>
    <r>
      <rPr>
        <sz val="16"/>
        <color theme="1"/>
        <rFont val="Calibri"/>
        <family val="2"/>
      </rPr>
      <t>0.2869</t>
    </r>
    <r>
      <rPr>
        <sz val="16"/>
        <rFont val="Calibri"/>
        <family val="2"/>
      </rPr>
      <t xml:space="preserve"> * ( T + 273.1 ) )</t>
    </r>
  </si>
  <si>
    <r>
      <rPr>
        <b/>
        <sz val="16"/>
        <color theme="1"/>
        <rFont val="Calibri"/>
        <family val="2"/>
        <scheme val="minor"/>
      </rPr>
      <t>P</t>
    </r>
    <r>
      <rPr>
        <sz val="16"/>
        <color theme="1"/>
        <rFont val="Calibri"/>
        <family val="2"/>
        <scheme val="minor"/>
      </rPr>
      <t xml:space="preserve"> (in.Hg) = .296 * P (K-Pa)</t>
    </r>
  </si>
  <si>
    <r>
      <rPr>
        <b/>
        <sz val="16"/>
        <color theme="1"/>
        <rFont val="Calibri"/>
        <family val="2"/>
        <scheme val="minor"/>
      </rPr>
      <t>P</t>
    </r>
    <r>
      <rPr>
        <i/>
        <sz val="16"/>
        <color theme="1"/>
        <rFont val="Calibri"/>
        <family val="2"/>
        <scheme val="minor"/>
      </rPr>
      <t xml:space="preserve"> = 101325 (1 - 2.25577 10</t>
    </r>
    <r>
      <rPr>
        <i/>
        <vertAlign val="superscript"/>
        <sz val="16"/>
        <color theme="1"/>
        <rFont val="Calibri"/>
        <family val="2"/>
        <scheme val="minor"/>
      </rPr>
      <t>-5</t>
    </r>
    <r>
      <rPr>
        <i/>
        <sz val="16"/>
        <color theme="1"/>
        <rFont val="Calibri"/>
        <family val="2"/>
        <scheme val="minor"/>
      </rPr>
      <t xml:space="preserve"> H)</t>
    </r>
    <r>
      <rPr>
        <i/>
        <vertAlign val="superscript"/>
        <sz val="16"/>
        <color theme="1"/>
        <rFont val="Calibri"/>
        <family val="2"/>
        <scheme val="minor"/>
      </rPr>
      <t>5.25588</t>
    </r>
  </si>
  <si>
    <r>
      <t>In.H</t>
    </r>
    <r>
      <rPr>
        <vertAlign val="subscript"/>
        <sz val="14"/>
        <color theme="1"/>
        <rFont val="Calibri"/>
        <family val="2"/>
      </rPr>
      <t>2</t>
    </r>
    <r>
      <rPr>
        <sz val="14"/>
        <color theme="1"/>
        <rFont val="Calibri"/>
        <family val="2"/>
      </rPr>
      <t>O</t>
    </r>
  </si>
  <si>
    <t xml:space="preserve">Note: Using above equation, wind pressure  is 0.1 in. of H2O at 15 mph on windward side </t>
  </si>
  <si>
    <t>(0.4 in. of H2O at 30 mph)</t>
  </si>
  <si>
    <t>ρ =</t>
  </si>
  <si>
    <r>
      <t>∆P</t>
    </r>
    <r>
      <rPr>
        <b/>
        <i/>
        <vertAlign val="subscript"/>
        <sz val="16"/>
        <color theme="1"/>
        <rFont val="Calibri"/>
        <family val="2"/>
        <scheme val="minor"/>
      </rPr>
      <t>W</t>
    </r>
    <r>
      <rPr>
        <b/>
        <i/>
        <sz val="16"/>
        <color theme="1"/>
        <rFont val="Calibri"/>
        <family val="2"/>
        <scheme val="minor"/>
      </rPr>
      <t xml:space="preserve"> =</t>
    </r>
  </si>
  <si>
    <r>
      <t>∆P</t>
    </r>
    <r>
      <rPr>
        <b/>
        <i/>
        <vertAlign val="subscript"/>
        <sz val="16"/>
        <color theme="1"/>
        <rFont val="Calibri"/>
        <family val="2"/>
        <scheme val="minor"/>
      </rPr>
      <t>S</t>
    </r>
    <r>
      <rPr>
        <b/>
        <i/>
        <sz val="16"/>
        <color theme="1"/>
        <rFont val="Calibri"/>
        <family val="2"/>
        <scheme val="minor"/>
      </rPr>
      <t xml:space="preserve"> =</t>
    </r>
  </si>
  <si>
    <r>
      <t xml:space="preserve">temperature, </t>
    </r>
    <r>
      <rPr>
        <vertAlign val="superscript"/>
        <sz val="14"/>
        <color theme="1"/>
        <rFont val="Calibri"/>
        <family val="2"/>
        <scheme val="minor"/>
      </rPr>
      <t>o</t>
    </r>
    <r>
      <rPr>
        <sz val="14"/>
        <color theme="1"/>
        <rFont val="Calibri"/>
        <family val="2"/>
        <scheme val="minor"/>
      </rPr>
      <t>R</t>
    </r>
  </si>
  <si>
    <r>
      <t>Note: Using the above equation, the stack pressure is 1.1 in. of water for a 60 story building with -10</t>
    </r>
    <r>
      <rPr>
        <vertAlign val="superscript"/>
        <sz val="12"/>
        <color theme="1"/>
        <rFont val="Calibri"/>
        <family val="2"/>
        <scheme val="minor"/>
      </rPr>
      <t>o</t>
    </r>
    <r>
      <rPr>
        <sz val="12"/>
        <color theme="1"/>
        <rFont val="Calibri"/>
        <family val="2"/>
        <scheme val="minor"/>
      </rPr>
      <t>F OA temp</t>
    </r>
  </si>
  <si>
    <r>
      <t>∆P</t>
    </r>
    <r>
      <rPr>
        <b/>
        <i/>
        <vertAlign val="subscript"/>
        <sz val="16"/>
        <color theme="1"/>
        <rFont val="Calibri"/>
        <family val="2"/>
        <scheme val="minor"/>
      </rPr>
      <t>total</t>
    </r>
    <r>
      <rPr>
        <b/>
        <i/>
        <sz val="16"/>
        <color theme="1"/>
        <rFont val="Calibri"/>
        <family val="2"/>
        <scheme val="minor"/>
      </rPr>
      <t xml:space="preserve"> =</t>
    </r>
  </si>
  <si>
    <t>i &amp; o =</t>
  </si>
  <si>
    <r>
      <t>T</t>
    </r>
    <r>
      <rPr>
        <vertAlign val="subscript"/>
        <sz val="14"/>
        <color theme="1"/>
        <rFont val="Calibri"/>
        <family val="2"/>
      </rPr>
      <t>O</t>
    </r>
    <r>
      <rPr>
        <sz val="14"/>
        <color theme="1"/>
        <rFont val="Calibri"/>
        <family val="2"/>
      </rPr>
      <t xml:space="preserve">  , T</t>
    </r>
    <r>
      <rPr>
        <vertAlign val="subscript"/>
        <sz val="14"/>
        <color theme="1"/>
        <rFont val="Calibri"/>
        <family val="2"/>
      </rPr>
      <t>I</t>
    </r>
  </si>
  <si>
    <r>
      <t>in.H</t>
    </r>
    <r>
      <rPr>
        <vertAlign val="subscript"/>
        <sz val="14"/>
        <color theme="1"/>
        <rFont val="Calibri"/>
        <family val="2"/>
      </rPr>
      <t>2</t>
    </r>
    <r>
      <rPr>
        <sz val="14"/>
        <color theme="1"/>
        <rFont val="Calibri"/>
        <family val="2"/>
      </rPr>
      <t>O</t>
    </r>
  </si>
  <si>
    <t>S-0</t>
  </si>
  <si>
    <t>S-2</t>
  </si>
  <si>
    <t>S-3</t>
  </si>
  <si>
    <t>S-1</t>
  </si>
  <si>
    <t>S-4</t>
  </si>
  <si>
    <t>S-5</t>
  </si>
  <si>
    <t>OR Lkg-A  % Envl (0.01-0.15)</t>
  </si>
  <si>
    <t>S-6</t>
  </si>
  <si>
    <t>S-7</t>
  </si>
  <si>
    <t>S-8</t>
  </si>
  <si>
    <t>Cd</t>
  </si>
  <si>
    <t>Pi-Po = PD</t>
  </si>
  <si>
    <t>OA Air Dens</t>
  </si>
  <si>
    <r>
      <rPr>
        <b/>
        <sz val="16"/>
        <color theme="1"/>
        <rFont val="Calibri"/>
        <family val="2"/>
        <scheme val="minor"/>
      </rPr>
      <t>Q</t>
    </r>
    <r>
      <rPr>
        <b/>
        <sz val="14"/>
        <color theme="1"/>
        <rFont val="Calibri"/>
        <family val="2"/>
        <scheme val="minor"/>
      </rPr>
      <t xml:space="preserve"> = Cd * A * ( 2 * ∆P/d ) ^ 0.5</t>
    </r>
  </si>
  <si>
    <r>
      <rPr>
        <b/>
        <sz val="16"/>
        <color theme="1"/>
        <rFont val="Calibri"/>
        <family val="2"/>
      </rPr>
      <t>A</t>
    </r>
    <r>
      <rPr>
        <b/>
        <sz val="14"/>
        <color theme="1"/>
        <rFont val="Calibri"/>
        <family val="2"/>
      </rPr>
      <t xml:space="preserve"> = Q / ( Cd * ( 2 * ∆P/d ) ^ 0.5 )</t>
    </r>
  </si>
  <si>
    <t>S = Vertical Section</t>
  </si>
  <si>
    <t>P = 2 * pi * SQRT( W*L  / pi)</t>
  </si>
  <si>
    <t>Lkg-A</t>
  </si>
  <si>
    <t xml:space="preserve"> Total Envl Area</t>
  </si>
</sst>
</file>

<file path=xl/styles.xml><?xml version="1.0" encoding="utf-8"?>
<styleSheet xmlns="http://schemas.openxmlformats.org/spreadsheetml/2006/main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"/>
    <numFmt numFmtId="165" formatCode="0.000"/>
    <numFmt numFmtId="166" formatCode="0.0000"/>
    <numFmt numFmtId="167" formatCode="0.0"/>
    <numFmt numFmtId="168" formatCode="#,##0.0"/>
    <numFmt numFmtId="169" formatCode="#,##0.0000"/>
    <numFmt numFmtId="170" formatCode="#,##0.000"/>
    <numFmt numFmtId="171" formatCode="0.0000000E+00"/>
    <numFmt numFmtId="172" formatCode="_(* #,##0.0_);_(* \(#,##0.0\);_(* &quot;-&quot;??_);_(@_)"/>
    <numFmt numFmtId="173" formatCode="0.00000"/>
    <numFmt numFmtId="174" formatCode="_(* #,##0.00000_);_(* \(#,##0.00000\);_(* &quot;-&quot;?????_);_(@_)"/>
    <numFmt numFmtId="175" formatCode="_(* #,##0.0000_);_(* \(#,##0.0000\);_(* &quot;-&quot;????_);_(@_)"/>
    <numFmt numFmtId="176" formatCode="#,##0.00000"/>
  </numFmts>
  <fonts count="149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sz val="8"/>
      <name val="Times New Roman"/>
      <family val="1"/>
    </font>
    <font>
      <sz val="7"/>
      <name val="Times New Roman"/>
      <family val="1"/>
    </font>
    <font>
      <b/>
      <sz val="13"/>
      <color theme="1"/>
      <name val="Calibri"/>
      <family val="2"/>
    </font>
    <font>
      <sz val="13"/>
      <color theme="1"/>
      <name val="Calibri"/>
      <family val="2"/>
    </font>
    <font>
      <vertAlign val="subscript"/>
      <sz val="13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vertAlign val="subscript"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  <scheme val="minor"/>
    </font>
    <font>
      <sz val="14"/>
      <color theme="1"/>
      <name val="Calibri"/>
      <family val="2"/>
    </font>
    <font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</font>
    <font>
      <sz val="12"/>
      <color rgb="FFC00000"/>
      <name val="Calibri"/>
      <family val="2"/>
    </font>
    <font>
      <b/>
      <sz val="13"/>
      <color rgb="FFC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C00000"/>
      <name val="Calibri"/>
      <family val="2"/>
    </font>
    <font>
      <b/>
      <sz val="11"/>
      <color rgb="FFC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</font>
    <font>
      <b/>
      <vertAlign val="subscript"/>
      <sz val="14"/>
      <color theme="1"/>
      <name val="Calibri"/>
      <family val="2"/>
      <scheme val="minor"/>
    </font>
    <font>
      <sz val="9"/>
      <name val="Times New Roman"/>
      <family val="1"/>
    </font>
    <font>
      <b/>
      <sz val="18"/>
      <color theme="1"/>
      <name val="Calibri"/>
      <family val="2"/>
    </font>
    <font>
      <b/>
      <sz val="14"/>
      <color rgb="FF002060"/>
      <name val="Calibri"/>
      <family val="2"/>
    </font>
    <font>
      <sz val="12"/>
      <color rgb="FF002060"/>
      <name val="Calibri"/>
      <family val="2"/>
    </font>
    <font>
      <b/>
      <sz val="12"/>
      <color rgb="FF002060"/>
      <name val="Calibri"/>
      <family val="2"/>
    </font>
    <font>
      <vertAlign val="subscript"/>
      <sz val="14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sz val="8"/>
      <color theme="1"/>
      <name val="Calibri"/>
      <family val="2"/>
    </font>
    <font>
      <sz val="16"/>
      <color theme="1"/>
      <name val="Calibri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name val="Calibri"/>
      <family val="2"/>
    </font>
    <font>
      <b/>
      <vertAlign val="subscript"/>
      <sz val="14"/>
      <color theme="1"/>
      <name val="Calibri"/>
      <family val="2"/>
    </font>
    <font>
      <vertAlign val="superscript"/>
      <sz val="12"/>
      <color theme="1"/>
      <name val="Calibri"/>
      <family val="2"/>
    </font>
    <font>
      <vertAlign val="superscript"/>
      <sz val="12"/>
      <name val="Calibri"/>
      <family val="2"/>
    </font>
    <font>
      <b/>
      <i/>
      <sz val="16"/>
      <color theme="1"/>
      <name val="Calibri"/>
      <family val="2"/>
      <scheme val="minor"/>
    </font>
    <font>
      <vertAlign val="subscript"/>
      <sz val="14"/>
      <color theme="1"/>
      <name val="Calibri"/>
      <family val="2"/>
    </font>
    <font>
      <b/>
      <vertAlign val="superscript"/>
      <sz val="14"/>
      <color rgb="FF002060"/>
      <name val="Calibri"/>
      <family val="2"/>
    </font>
    <font>
      <b/>
      <i/>
      <vertAlign val="subscript"/>
      <sz val="16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</font>
    <font>
      <sz val="11"/>
      <color theme="1"/>
      <name val="Times New Roman"/>
      <family val="1"/>
    </font>
    <font>
      <b/>
      <vertAlign val="superscript"/>
      <sz val="14"/>
      <color theme="1"/>
      <name val="Calibri"/>
      <family val="2"/>
      <scheme val="minor"/>
    </font>
    <font>
      <b/>
      <vertAlign val="subscript"/>
      <sz val="14"/>
      <color rgb="FF002060"/>
      <name val="Calibri"/>
      <family val="2"/>
    </font>
    <font>
      <b/>
      <sz val="16"/>
      <color theme="1"/>
      <name val="Calibri"/>
      <family val="2"/>
      <scheme val="minor"/>
    </font>
    <font>
      <b/>
      <vertAlign val="subscript"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8"/>
      <name val="Calibri"/>
      <family val="2"/>
    </font>
    <font>
      <b/>
      <sz val="17"/>
      <color theme="1"/>
      <name val="Calibri"/>
      <family val="2"/>
    </font>
    <font>
      <sz val="10"/>
      <name val="Arial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5"/>
      <name val="Calibri"/>
      <family val="2"/>
      <scheme val="minor"/>
    </font>
    <font>
      <sz val="18"/>
      <name val="Calibri"/>
      <family val="2"/>
      <scheme val="minor"/>
    </font>
    <font>
      <sz val="11"/>
      <color rgb="FFC00000"/>
      <name val="Lucida Sans"/>
      <family val="2"/>
    </font>
    <font>
      <b/>
      <sz val="14"/>
      <color rgb="FFC00000"/>
      <name val="Lucida Sans"/>
      <family val="2"/>
    </font>
    <font>
      <sz val="11"/>
      <color theme="1"/>
      <name val="Aharoni"/>
      <charset val="177"/>
    </font>
    <font>
      <sz val="12"/>
      <color theme="1"/>
      <name val="Lucida Sans"/>
      <family val="2"/>
    </font>
    <font>
      <b/>
      <sz val="12"/>
      <color theme="1"/>
      <name val="Lucida Sans"/>
      <family val="2"/>
    </font>
    <font>
      <sz val="12"/>
      <color theme="3"/>
      <name val="Lucida Sans"/>
      <family val="2"/>
    </font>
    <font>
      <sz val="12"/>
      <color theme="3"/>
      <name val="Calibri"/>
      <family val="2"/>
    </font>
    <font>
      <sz val="11"/>
      <color theme="3"/>
      <name val="Lucida Sans"/>
      <family val="2"/>
    </font>
    <font>
      <sz val="11"/>
      <color theme="1"/>
      <name val="Lucida Sans"/>
      <family val="2"/>
    </font>
    <font>
      <b/>
      <sz val="12"/>
      <color indexed="10"/>
      <name val="Calibri"/>
      <family val="2"/>
    </font>
    <font>
      <sz val="12"/>
      <color indexed="10"/>
      <name val="Calibri"/>
      <family val="2"/>
    </font>
    <font>
      <b/>
      <sz val="12"/>
      <color theme="3"/>
      <name val="Calibri"/>
      <family val="2"/>
    </font>
    <font>
      <b/>
      <sz val="12"/>
      <color rgb="FF002060"/>
      <name val="Times New Roman"/>
      <family val="1"/>
    </font>
    <font>
      <b/>
      <sz val="11"/>
      <color rgb="FFC00000"/>
      <name val="Lucida Sans"/>
      <family val="2"/>
    </font>
    <font>
      <b/>
      <sz val="12"/>
      <color rgb="FFC00000"/>
      <name val="Lucida Sans"/>
      <family val="2"/>
    </font>
    <font>
      <b/>
      <sz val="11"/>
      <color rgb="FF002060"/>
      <name val="Calibri"/>
      <family val="2"/>
    </font>
    <font>
      <sz val="16"/>
      <color rgb="FF002060"/>
      <name val="Calibri"/>
      <family val="2"/>
    </font>
    <font>
      <b/>
      <vertAlign val="superscript"/>
      <sz val="12"/>
      <color rgb="FF002060"/>
      <name val="Calibri"/>
      <family val="2"/>
    </font>
    <font>
      <b/>
      <sz val="14"/>
      <color rgb="FF333333"/>
      <name val="Calibri"/>
      <family val="2"/>
    </font>
    <font>
      <b/>
      <sz val="18"/>
      <color rgb="FF333333"/>
      <name val="Calibri"/>
      <family val="2"/>
    </font>
    <font>
      <b/>
      <sz val="16"/>
      <color rgb="FF333333"/>
      <name val="Calibri"/>
      <family val="2"/>
    </font>
    <font>
      <b/>
      <sz val="12"/>
      <color rgb="FF002060"/>
      <name val="Calibri"/>
      <family val="2"/>
      <scheme val="minor"/>
    </font>
    <font>
      <sz val="13"/>
      <color rgb="FFC00000"/>
      <name val="Calibri"/>
      <family val="2"/>
    </font>
    <font>
      <b/>
      <sz val="11"/>
      <color rgb="FFC00000"/>
      <name val="Calibri"/>
      <family val="2"/>
      <scheme val="minor"/>
    </font>
    <font>
      <b/>
      <sz val="8"/>
      <color rgb="FFC00000"/>
      <name val="Calibri"/>
      <family val="2"/>
    </font>
    <font>
      <sz val="11"/>
      <color rgb="FFC00000"/>
      <name val="Calibri"/>
      <family val="2"/>
    </font>
    <font>
      <sz val="8"/>
      <name val="Calibri"/>
      <family val="2"/>
    </font>
    <font>
      <vertAlign val="subscript"/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i/>
      <sz val="12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sz val="15"/>
      <color theme="1"/>
      <name val="Calibri"/>
      <family val="2"/>
    </font>
    <font>
      <b/>
      <sz val="15"/>
      <color theme="1"/>
      <name val="Calibri"/>
      <family val="2"/>
    </font>
    <font>
      <b/>
      <sz val="15"/>
      <color theme="3" tint="-0.249977111117893"/>
      <name val="Calibri"/>
      <family val="2"/>
    </font>
    <font>
      <b/>
      <sz val="15"/>
      <color theme="4" tint="-0.499984740745262"/>
      <name val="Calibri"/>
      <family val="2"/>
      <scheme val="minor"/>
    </font>
    <font>
      <b/>
      <sz val="15"/>
      <color theme="4" tint="-0.499984740745262"/>
      <name val="Calibri"/>
      <family val="2"/>
    </font>
    <font>
      <b/>
      <sz val="15"/>
      <color rgb="FFC00000"/>
      <name val="Calibri"/>
      <family val="2"/>
    </font>
    <font>
      <sz val="15"/>
      <color rgb="FFC00000"/>
      <name val="Calibri"/>
      <family val="2"/>
    </font>
    <font>
      <sz val="15"/>
      <color theme="4" tint="-0.499984740745262"/>
      <name val="Calibri"/>
      <family val="2"/>
    </font>
    <font>
      <b/>
      <sz val="15"/>
      <color rgb="FF002060"/>
      <name val="Calibri"/>
      <family val="2"/>
    </font>
    <font>
      <sz val="15"/>
      <color rgb="FF002060"/>
      <name val="Calibri"/>
      <family val="2"/>
    </font>
    <font>
      <vertAlign val="subscript"/>
      <sz val="15"/>
      <color theme="1"/>
      <name val="Calibri"/>
      <family val="2"/>
    </font>
    <font>
      <b/>
      <sz val="15"/>
      <name val="Calibri"/>
      <family val="2"/>
    </font>
    <font>
      <sz val="15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16"/>
      <color rgb="FFC00000"/>
      <name val="Calibri"/>
      <family val="2"/>
    </font>
    <font>
      <sz val="8"/>
      <name val="Calibri"/>
      <family val="2"/>
      <scheme val="minor"/>
    </font>
    <font>
      <vertAlign val="subscript"/>
      <sz val="16"/>
      <color theme="1"/>
      <name val="Calibri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vertAlign val="subscript"/>
      <sz val="16"/>
      <name val="Calibri"/>
      <family val="2"/>
      <scheme val="minor"/>
    </font>
    <font>
      <sz val="16"/>
      <name val="Calibri"/>
      <family val="2"/>
    </font>
    <font>
      <vertAlign val="subscript"/>
      <sz val="16"/>
      <name val="Calibri"/>
      <family val="2"/>
    </font>
    <font>
      <sz val="16"/>
      <color theme="1"/>
      <name val="Calibri"/>
      <family val="2"/>
      <scheme val="minor"/>
    </font>
    <font>
      <b/>
      <sz val="16"/>
      <color indexed="12"/>
      <name val="Calibri"/>
      <family val="2"/>
    </font>
    <font>
      <i/>
      <sz val="16"/>
      <color theme="1"/>
      <name val="Calibri"/>
      <family val="2"/>
      <scheme val="minor"/>
    </font>
    <font>
      <i/>
      <vertAlign val="superscript"/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sz val="24"/>
      <color theme="1"/>
      <name val="Calibri"/>
      <family val="2"/>
    </font>
    <font>
      <sz val="18"/>
      <color theme="1"/>
      <name val="Calibri"/>
      <family val="2"/>
    </font>
    <font>
      <sz val="12"/>
      <color rgb="FFFF0000"/>
      <name val="Calibri"/>
      <family val="2"/>
    </font>
    <font>
      <b/>
      <sz val="12"/>
      <color rgb="FFFF0000"/>
      <name val="Calibri"/>
      <family val="2"/>
    </font>
    <font>
      <sz val="14"/>
      <color rgb="FFC00000"/>
      <name val="Calibri"/>
      <family val="2"/>
    </font>
    <font>
      <sz val="9"/>
      <color rgb="FFC00000"/>
      <name val="Calibri"/>
      <family val="2"/>
    </font>
    <font>
      <b/>
      <sz val="10"/>
      <color rgb="FFC00000"/>
      <name val="Calibri"/>
      <family val="2"/>
    </font>
    <font>
      <sz val="10"/>
      <color theme="1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5F4F7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2"/>
        <bgColor indexed="64"/>
      </patternFill>
    </fill>
    <fill>
      <patternFill patternType="gray0625"/>
    </fill>
    <fill>
      <patternFill patternType="gray0625">
        <bgColor theme="2"/>
      </patternFill>
    </fill>
    <fill>
      <patternFill patternType="solid">
        <fgColor rgb="FFFFFFCC"/>
        <bgColor indexed="8"/>
      </patternFill>
    </fill>
    <fill>
      <patternFill patternType="gray0625">
        <bgColor rgb="FFE7EDF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5F9"/>
        <bgColor indexed="64"/>
      </patternFill>
    </fill>
    <fill>
      <patternFill patternType="gray0625">
        <bgColor rgb="FFFFD347"/>
      </patternFill>
    </fill>
    <fill>
      <patternFill patternType="solid">
        <fgColor rgb="FFF7F5F9"/>
        <bgColor indexed="8"/>
      </patternFill>
    </fill>
    <fill>
      <patternFill patternType="gray0625">
        <bgColor theme="7" tint="0.79998168889431442"/>
      </patternFill>
    </fill>
    <fill>
      <patternFill patternType="gray0625">
        <fgColor indexed="8"/>
        <bgColor rgb="FFE7EDF5"/>
      </patternFill>
    </fill>
    <fill>
      <patternFill patternType="gray0625">
        <bgColor rgb="FFFFFF00"/>
      </patternFill>
    </fill>
    <fill>
      <patternFill patternType="gray0625">
        <bgColor theme="0"/>
      </patternFill>
    </fill>
    <fill>
      <patternFill patternType="solid">
        <fgColor rgb="FFDED9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7EDF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AC9AC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EEE4"/>
        <bgColor indexed="64"/>
      </patternFill>
    </fill>
    <fill>
      <patternFill patternType="solid">
        <fgColor rgb="FFEBF6F9"/>
        <bgColor indexed="64"/>
      </patternFill>
    </fill>
    <fill>
      <patternFill patternType="gray125">
        <fgColor theme="0"/>
        <bgColor theme="2" tint="-9.9978637043366805E-2"/>
      </patternFill>
    </fill>
    <fill>
      <patternFill patternType="solid">
        <fgColor theme="0" tint="-0.249977111117893"/>
        <bgColor indexed="64"/>
      </patternFill>
    </fill>
    <fill>
      <patternFill patternType="gray125">
        <bgColor theme="0"/>
      </patternFill>
    </fill>
  </fills>
  <borders count="4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hair">
        <color indexed="64"/>
      </bottom>
      <diagonal/>
    </border>
    <border>
      <left style="thick">
        <color rgb="FFC00000"/>
      </left>
      <right style="thick">
        <color rgb="FFC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DashDot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DashDot">
        <color auto="1"/>
      </right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double">
        <color auto="1"/>
      </right>
      <top style="mediumDashed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mediumDashDot">
        <color auto="1"/>
      </right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double">
        <color auto="1"/>
      </right>
      <top/>
      <bottom style="mediumDashed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 style="mediumDashDot">
        <color auto="1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auto="1"/>
      </left>
      <right/>
      <top style="hair">
        <color auto="1"/>
      </top>
      <bottom style="hair">
        <color auto="1"/>
      </bottom>
      <diagonal/>
    </border>
    <border>
      <left/>
      <right style="mediumDashDot">
        <color auto="1"/>
      </right>
      <top style="hair">
        <color auto="1"/>
      </top>
      <bottom style="hair">
        <color auto="1"/>
      </bottom>
      <diagonal/>
    </border>
    <border>
      <left style="mediumDashDot">
        <color auto="1"/>
      </left>
      <right style="mediumDashDot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mediumDashed">
        <color auto="1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/>
      <bottom style="mediumDashed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Dot">
        <color auto="1"/>
      </right>
      <top style="double">
        <color auto="1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DashDot">
        <color auto="1"/>
      </right>
      <top/>
      <bottom style="double">
        <color auto="1"/>
      </bottom>
      <diagonal/>
    </border>
    <border>
      <left/>
      <right style="mediumDashed">
        <color auto="1"/>
      </right>
      <top/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ck">
        <color rgb="FFC00000"/>
      </left>
      <right style="hair">
        <color indexed="64"/>
      </right>
      <top style="thick">
        <color rgb="FFC0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rgb="FFC00000"/>
      </top>
      <bottom style="hair">
        <color indexed="64"/>
      </bottom>
      <diagonal/>
    </border>
    <border>
      <left style="hair">
        <color indexed="64"/>
      </left>
      <right style="thick">
        <color rgb="FFC00000"/>
      </right>
      <top style="thick">
        <color rgb="FFC00000"/>
      </top>
      <bottom style="hair">
        <color indexed="64"/>
      </bottom>
      <diagonal/>
    </border>
    <border>
      <left style="thick">
        <color rgb="FFC0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rgb="FFC00000"/>
      </right>
      <top style="hair">
        <color indexed="64"/>
      </top>
      <bottom style="hair">
        <color indexed="64"/>
      </bottom>
      <diagonal/>
    </border>
    <border>
      <left style="thick">
        <color rgb="FFC00000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rgb="FFC00000"/>
      </right>
      <top style="hair">
        <color indexed="64"/>
      </top>
      <bottom style="medium">
        <color indexed="64"/>
      </bottom>
      <diagonal/>
    </border>
    <border>
      <left style="thick">
        <color rgb="FFC0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rgb="FFC00000"/>
      </right>
      <top/>
      <bottom style="hair">
        <color indexed="64"/>
      </bottom>
      <diagonal/>
    </border>
    <border>
      <left style="thick">
        <color rgb="FFC00000"/>
      </left>
      <right style="hair">
        <color indexed="64"/>
      </right>
      <top style="hair">
        <color indexed="64"/>
      </top>
      <bottom style="thick">
        <color rgb="FFC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rgb="FFC00000"/>
      </bottom>
      <diagonal/>
    </border>
    <border>
      <left style="hair">
        <color indexed="64"/>
      </left>
      <right style="thick">
        <color rgb="FFC00000"/>
      </right>
      <top style="hair">
        <color indexed="64"/>
      </top>
      <bottom style="thick">
        <color rgb="FFC00000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DashDotDot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Dashed">
        <color indexed="64"/>
      </bottom>
      <diagonal/>
    </border>
    <border>
      <left style="hair">
        <color indexed="64"/>
      </left>
      <right style="thick">
        <color rgb="FFC00000"/>
      </right>
      <top style="thin">
        <color indexed="64"/>
      </top>
      <bottom style="hair">
        <color indexed="64"/>
      </bottom>
      <diagonal/>
    </border>
    <border>
      <left style="thick">
        <color rgb="FFC00000"/>
      </left>
      <right/>
      <top/>
      <bottom/>
      <diagonal/>
    </border>
    <border>
      <left style="thick">
        <color indexed="64"/>
      </left>
      <right/>
      <top style="thick">
        <color rgb="FFC00000"/>
      </top>
      <bottom style="thin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/>
      <bottom style="hair">
        <color indexed="64"/>
      </bottom>
      <diagonal/>
    </border>
    <border>
      <left style="thick">
        <color rgb="FFC00000"/>
      </left>
      <right/>
      <top style="thick">
        <color rgb="FFC00000"/>
      </top>
      <bottom style="hair">
        <color indexed="64"/>
      </bottom>
      <diagonal/>
    </border>
    <border>
      <left style="thick">
        <color rgb="FFC00000"/>
      </left>
      <right/>
      <top style="hair">
        <color indexed="64"/>
      </top>
      <bottom style="hair">
        <color indexed="64"/>
      </bottom>
      <diagonal/>
    </border>
    <border>
      <left style="thick">
        <color rgb="FFC00000"/>
      </left>
      <right/>
      <top style="hair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thick">
        <color rgb="FFC00000"/>
      </top>
      <bottom style="hair">
        <color indexed="64"/>
      </bottom>
      <diagonal/>
    </border>
    <border>
      <left style="thin">
        <color indexed="64"/>
      </left>
      <right style="thick">
        <color rgb="FFC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C00000"/>
      </right>
      <top/>
      <bottom/>
      <diagonal/>
    </border>
    <border>
      <left style="thin">
        <color indexed="64"/>
      </left>
      <right style="thick">
        <color rgb="FFC00000"/>
      </right>
      <top style="hair">
        <color indexed="64"/>
      </top>
      <bottom style="thick">
        <color rgb="FFC00000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ck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Dashed">
        <color indexed="64"/>
      </bottom>
      <diagonal/>
    </border>
    <border>
      <left/>
      <right style="hair">
        <color indexed="64"/>
      </right>
      <top style="hair">
        <color indexed="64"/>
      </top>
      <bottom style="mediumDashed">
        <color indexed="64"/>
      </bottom>
      <diagonal/>
    </border>
    <border>
      <left style="hair">
        <color indexed="64"/>
      </left>
      <right style="mediumDashDot">
        <color rgb="FFC00000"/>
      </right>
      <top style="double">
        <color indexed="64"/>
      </top>
      <bottom style="hair">
        <color indexed="64"/>
      </bottom>
      <diagonal/>
    </border>
    <border>
      <left style="mediumDashDot">
        <color rgb="FFC0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Dot">
        <color rgb="FFC00000"/>
      </right>
      <top style="hair">
        <color indexed="64"/>
      </top>
      <bottom style="hair">
        <color indexed="64"/>
      </bottom>
      <diagonal/>
    </border>
    <border>
      <left style="mediumDashDot">
        <color rgb="FFC00000"/>
      </left>
      <right style="hair">
        <color indexed="64"/>
      </right>
      <top style="hair">
        <color indexed="64"/>
      </top>
      <bottom style="mediumDashed">
        <color indexed="64"/>
      </bottom>
      <diagonal/>
    </border>
    <border>
      <left style="hair">
        <color indexed="64"/>
      </left>
      <right style="mediumDashDot">
        <color rgb="FFC00000"/>
      </right>
      <top style="hair">
        <color indexed="64"/>
      </top>
      <bottom style="mediumDashed">
        <color indexed="64"/>
      </bottom>
      <diagonal/>
    </border>
    <border>
      <left style="mediumDashDot">
        <color rgb="FFC0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DashDot">
        <color rgb="FFC00000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Dashed">
        <color rgb="FFC00000"/>
      </left>
      <right style="hair">
        <color indexed="64"/>
      </right>
      <top style="mediumDashed">
        <color rgb="FFC00000"/>
      </top>
      <bottom style="mediumDashed">
        <color indexed="64"/>
      </bottom>
      <diagonal/>
    </border>
    <border>
      <left style="hair">
        <color indexed="64"/>
      </left>
      <right style="mediumDashed">
        <color rgb="FFC00000"/>
      </right>
      <top style="mediumDashed">
        <color rgb="FFC00000"/>
      </top>
      <bottom style="mediumDashed">
        <color indexed="64"/>
      </bottom>
      <diagonal/>
    </border>
    <border>
      <left style="mediumDashed">
        <color rgb="FFC0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Dashed">
        <color rgb="FFC00000"/>
      </right>
      <top/>
      <bottom style="hair">
        <color indexed="64"/>
      </bottom>
      <diagonal/>
    </border>
    <border>
      <left style="mediumDashed">
        <color rgb="FFC0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rgb="FFC00000"/>
      </right>
      <top style="hair">
        <color indexed="64"/>
      </top>
      <bottom style="hair">
        <color indexed="64"/>
      </bottom>
      <diagonal/>
    </border>
    <border>
      <left style="mediumDashed">
        <color rgb="FFC00000"/>
      </left>
      <right style="hair">
        <color indexed="64"/>
      </right>
      <top style="hair">
        <color indexed="64"/>
      </top>
      <bottom style="mediumDashed">
        <color rgb="FFC00000"/>
      </bottom>
      <diagonal/>
    </border>
    <border>
      <left style="hair">
        <color indexed="64"/>
      </left>
      <right style="mediumDashed">
        <color rgb="FFC00000"/>
      </right>
      <top style="hair">
        <color indexed="64"/>
      </top>
      <bottom style="mediumDashed">
        <color rgb="FFC00000"/>
      </bottom>
      <diagonal/>
    </border>
    <border>
      <left style="mediumDashed">
        <color rgb="FFC00000"/>
      </left>
      <right style="hair">
        <color indexed="64"/>
      </right>
      <top style="mediumDashed">
        <color rgb="FFC0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Dashed">
        <color rgb="FFC00000"/>
      </top>
      <bottom/>
      <diagonal/>
    </border>
    <border>
      <left style="hair">
        <color indexed="64"/>
      </left>
      <right style="mediumDashed">
        <color rgb="FFC00000"/>
      </right>
      <top style="mediumDashed">
        <color rgb="FFC00000"/>
      </top>
      <bottom style="hair">
        <color indexed="64"/>
      </bottom>
      <diagonal/>
    </border>
    <border>
      <left style="mediumDashed">
        <color rgb="FFC00000"/>
      </left>
      <right/>
      <top style="hair">
        <color indexed="64"/>
      </top>
      <bottom style="hair">
        <color indexed="64"/>
      </bottom>
      <diagonal/>
    </border>
    <border>
      <left style="mediumDashed">
        <color rgb="FFC00000"/>
      </left>
      <right style="hair">
        <color indexed="64"/>
      </right>
      <top style="thin">
        <color indexed="64"/>
      </top>
      <bottom style="mediumDashed">
        <color rgb="FFC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Dashed">
        <color rgb="FFC00000"/>
      </bottom>
      <diagonal/>
    </border>
    <border>
      <left/>
      <right style="mediumDashed">
        <color rgb="FFC0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rgb="FFC00000"/>
      </right>
      <top style="thin">
        <color indexed="64"/>
      </top>
      <bottom style="mediumDashed">
        <color rgb="FFC00000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indexed="64"/>
      </right>
      <top style="hair">
        <color theme="1"/>
      </top>
      <bottom style="hair">
        <color theme="1"/>
      </bottom>
      <diagonal/>
    </border>
    <border>
      <left style="thick">
        <color rgb="FFC00000"/>
      </left>
      <right style="hair">
        <color theme="1"/>
      </right>
      <top style="hair">
        <color theme="1"/>
      </top>
      <bottom style="thick">
        <color rgb="FFC00000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ck">
        <color rgb="FFC00000"/>
      </bottom>
      <diagonal/>
    </border>
    <border>
      <left style="hair">
        <color theme="1"/>
      </left>
      <right style="hair">
        <color indexed="64"/>
      </right>
      <top style="hair">
        <color theme="1"/>
      </top>
      <bottom style="thick">
        <color rgb="FFC00000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ck">
        <color auto="1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C00000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indexed="64"/>
      </right>
      <top/>
      <bottom style="hair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C0000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ck">
        <color rgb="FFC00000"/>
      </right>
      <top style="hair">
        <color indexed="64"/>
      </top>
      <bottom style="thin">
        <color indexed="64"/>
      </bottom>
      <diagonal/>
    </border>
    <border>
      <left style="thick">
        <color rgb="FFC00000"/>
      </left>
      <right style="hair">
        <color indexed="64"/>
      </right>
      <top/>
      <bottom style="medium">
        <color indexed="64"/>
      </bottom>
      <diagonal/>
    </border>
    <border>
      <left style="thick">
        <color rgb="FFC00000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ck">
        <color rgb="FFC00000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ck">
        <color rgb="FFC00000"/>
      </top>
      <bottom style="hair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thick">
        <color rgb="FFC00000"/>
      </bottom>
      <diagonal/>
    </border>
    <border>
      <left style="thin">
        <color indexed="64"/>
      </left>
      <right style="hair">
        <color indexed="64"/>
      </right>
      <top style="thick">
        <color rgb="FFC00000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thick">
        <color rgb="FFC00000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medium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Dashed">
        <color auto="1"/>
      </bottom>
      <diagonal/>
    </border>
    <border>
      <left style="mediumDashDot">
        <color rgb="FFC0000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DashDot">
        <color rgb="FFC00000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auto="1"/>
      </top>
      <bottom/>
      <diagonal/>
    </border>
    <border>
      <left style="thin">
        <color indexed="64"/>
      </left>
      <right style="hair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thick">
        <color rgb="FFC00000"/>
      </top>
      <bottom/>
      <diagonal/>
    </border>
    <border>
      <left/>
      <right/>
      <top/>
      <bottom style="thick">
        <color rgb="FFC00000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auto="1"/>
      </bottom>
      <diagonal/>
    </border>
    <border>
      <left/>
      <right style="hair">
        <color indexed="64"/>
      </right>
      <top style="hair">
        <color auto="1"/>
      </top>
      <bottom style="thick">
        <color auto="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C00000"/>
      </right>
      <top/>
      <bottom style="hair">
        <color indexed="64"/>
      </bottom>
      <diagonal/>
    </border>
    <border>
      <left style="thin">
        <color indexed="64"/>
      </left>
      <right style="thick">
        <color rgb="FFC00000"/>
      </right>
      <top style="hair">
        <color indexed="64"/>
      </top>
      <bottom style="medium">
        <color indexed="64"/>
      </bottom>
      <diagonal/>
    </border>
    <border>
      <left style="thick">
        <color rgb="FFC00000"/>
      </left>
      <right style="hair">
        <color auto="1"/>
      </right>
      <top style="thin">
        <color indexed="64"/>
      </top>
      <bottom style="hair">
        <color auto="1"/>
      </bottom>
      <diagonal/>
    </border>
  </borders>
  <cellStyleXfs count="53">
    <xf numFmtId="0" fontId="0" fillId="0" borderId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6" fillId="0" borderId="0"/>
    <xf numFmtId="41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9" fillId="0" borderId="0"/>
    <xf numFmtId="0" fontId="12" fillId="0" borderId="0"/>
    <xf numFmtId="0" fontId="9" fillId="0" borderId="0"/>
    <xf numFmtId="0" fontId="8" fillId="0" borderId="0"/>
    <xf numFmtId="0" fontId="8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7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3" fillId="0" borderId="0">
      <alignment vertical="center"/>
    </xf>
    <xf numFmtId="0" fontId="6" fillId="0" borderId="0"/>
    <xf numFmtId="0" fontId="6" fillId="0" borderId="0"/>
    <xf numFmtId="0" fontId="6" fillId="0" borderId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2" fillId="0" borderId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7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75" fillId="0" borderId="0"/>
    <xf numFmtId="0" fontId="3" fillId="0" borderId="0"/>
    <xf numFmtId="0" fontId="7" fillId="0" borderId="0"/>
    <xf numFmtId="0" fontId="2" fillId="0" borderId="0"/>
    <xf numFmtId="0" fontId="1" fillId="0" borderId="0"/>
  </cellStyleXfs>
  <cellXfs count="2305">
    <xf numFmtId="0" fontId="0" fillId="0" borderId="0" xfId="0"/>
    <xf numFmtId="166" fontId="0" fillId="5" borderId="20" xfId="0" applyNumberFormat="1" applyFont="1" applyFill="1" applyBorder="1" applyAlignment="1">
      <alignment horizontal="center" vertical="center"/>
    </xf>
    <xf numFmtId="167" fontId="20" fillId="5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20" fillId="5" borderId="0" xfId="0" applyFont="1" applyFill="1" applyBorder="1" applyAlignment="1">
      <alignment horizontal="center" vertical="center"/>
    </xf>
    <xf numFmtId="0" fontId="32" fillId="5" borderId="0" xfId="0" applyFont="1" applyFill="1" applyBorder="1" applyAlignment="1">
      <alignment horizontal="center" vertical="center"/>
    </xf>
    <xf numFmtId="0" fontId="32" fillId="5" borderId="0" xfId="0" applyFont="1" applyFill="1" applyBorder="1" applyAlignment="1">
      <alignment horizontal="left" vertical="center" indent="1"/>
    </xf>
    <xf numFmtId="0" fontId="0" fillId="5" borderId="0" xfId="0" applyFont="1" applyFill="1" applyBorder="1" applyAlignment="1">
      <alignment horizontal="center" vertical="center"/>
    </xf>
    <xf numFmtId="166" fontId="23" fillId="5" borderId="0" xfId="37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left" vertical="center" indent="1"/>
    </xf>
    <xf numFmtId="3" fontId="0" fillId="5" borderId="13" xfId="0" applyNumberFormat="1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3" fontId="0" fillId="5" borderId="20" xfId="0" applyNumberFormat="1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32" fillId="5" borderId="0" xfId="0" applyFont="1" applyFill="1" applyAlignment="1">
      <alignment horizontal="center" vertical="center"/>
    </xf>
    <xf numFmtId="167" fontId="20" fillId="5" borderId="13" xfId="0" applyNumberFormat="1" applyFont="1" applyFill="1" applyBorder="1" applyAlignment="1">
      <alignment horizontal="center" vertical="center"/>
    </xf>
    <xf numFmtId="0" fontId="32" fillId="5" borderId="13" xfId="0" applyFont="1" applyFill="1" applyBorder="1" applyAlignment="1">
      <alignment horizontal="center" vertical="center"/>
    </xf>
    <xf numFmtId="3" fontId="32" fillId="5" borderId="13" xfId="0" applyNumberFormat="1" applyFont="1" applyFill="1" applyBorder="1" applyAlignment="1">
      <alignment horizontal="center" vertical="center"/>
    </xf>
    <xf numFmtId="2" fontId="20" fillId="5" borderId="13" xfId="0" applyNumberFormat="1" applyFont="1" applyFill="1" applyBorder="1" applyAlignment="1">
      <alignment horizontal="center" vertical="center"/>
    </xf>
    <xf numFmtId="166" fontId="23" fillId="5" borderId="13" xfId="38" applyNumberFormat="1" applyFont="1" applyFill="1" applyBorder="1" applyAlignment="1">
      <alignment horizontal="center" vertical="center"/>
    </xf>
    <xf numFmtId="167" fontId="23" fillId="5" borderId="13" xfId="37" applyNumberFormat="1" applyFont="1" applyFill="1" applyBorder="1" applyAlignment="1">
      <alignment horizontal="center" vertical="center"/>
    </xf>
    <xf numFmtId="166" fontId="23" fillId="5" borderId="13" xfId="37" applyNumberFormat="1" applyFont="1" applyFill="1" applyBorder="1" applyAlignment="1">
      <alignment horizontal="center" vertical="center"/>
    </xf>
    <xf numFmtId="167" fontId="23" fillId="5" borderId="13" xfId="38" applyNumberFormat="1" applyFont="1" applyFill="1" applyBorder="1" applyAlignment="1">
      <alignment horizontal="center" vertical="center"/>
    </xf>
    <xf numFmtId="3" fontId="32" fillId="5" borderId="33" xfId="0" applyNumberFormat="1" applyFont="1" applyFill="1" applyBorder="1" applyAlignment="1">
      <alignment horizontal="center" vertical="center"/>
    </xf>
    <xf numFmtId="2" fontId="20" fillId="5" borderId="33" xfId="0" applyNumberFormat="1" applyFont="1" applyFill="1" applyBorder="1" applyAlignment="1">
      <alignment horizontal="center" vertical="center"/>
    </xf>
    <xf numFmtId="167" fontId="20" fillId="5" borderId="33" xfId="0" applyNumberFormat="1" applyFont="1" applyFill="1" applyBorder="1" applyAlignment="1">
      <alignment horizontal="center" vertical="center"/>
    </xf>
    <xf numFmtId="167" fontId="23" fillId="5" borderId="33" xfId="37" applyNumberFormat="1" applyFont="1" applyFill="1" applyBorder="1" applyAlignment="1">
      <alignment horizontal="center" vertical="center"/>
    </xf>
    <xf numFmtId="166" fontId="23" fillId="5" borderId="33" xfId="37" applyNumberFormat="1" applyFont="1" applyFill="1" applyBorder="1" applyAlignment="1">
      <alignment horizontal="center" vertical="center"/>
    </xf>
    <xf numFmtId="167" fontId="23" fillId="5" borderId="33" xfId="38" applyNumberFormat="1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vertical="center"/>
    </xf>
    <xf numFmtId="165" fontId="23" fillId="5" borderId="13" xfId="38" applyNumberFormat="1" applyFont="1" applyFill="1" applyBorder="1" applyAlignment="1">
      <alignment horizontal="center" vertical="center"/>
    </xf>
    <xf numFmtId="165" fontId="20" fillId="5" borderId="0" xfId="0" applyNumberFormat="1" applyFont="1" applyFill="1" applyAlignment="1">
      <alignment horizontal="center" vertical="center"/>
    </xf>
    <xf numFmtId="0" fontId="32" fillId="5" borderId="33" xfId="0" applyFont="1" applyFill="1" applyBorder="1" applyAlignment="1">
      <alignment horizontal="left" vertical="center" indent="1"/>
    </xf>
    <xf numFmtId="167" fontId="23" fillId="5" borderId="0" xfId="38" applyNumberFormat="1" applyFont="1" applyFill="1" applyBorder="1" applyAlignment="1">
      <alignment horizontal="left" vertical="center" indent="1"/>
    </xf>
    <xf numFmtId="3" fontId="32" fillId="5" borderId="33" xfId="0" applyNumberFormat="1" applyFont="1" applyFill="1" applyBorder="1" applyAlignment="1">
      <alignment horizontal="left" vertical="center" indent="1"/>
    </xf>
    <xf numFmtId="165" fontId="23" fillId="5" borderId="33" xfId="38" applyNumberFormat="1" applyFont="1" applyFill="1" applyBorder="1" applyAlignment="1">
      <alignment horizontal="center" vertical="center"/>
    </xf>
    <xf numFmtId="166" fontId="23" fillId="6" borderId="13" xfId="38" applyNumberFormat="1" applyFont="1" applyFill="1" applyBorder="1" applyAlignment="1">
      <alignment horizontal="center" vertical="center"/>
    </xf>
    <xf numFmtId="166" fontId="23" fillId="6" borderId="24" xfId="38" applyNumberFormat="1" applyFont="1" applyFill="1" applyBorder="1" applyAlignment="1">
      <alignment horizontal="center" vertical="center"/>
    </xf>
    <xf numFmtId="167" fontId="0" fillId="5" borderId="0" xfId="0" applyNumberFormat="1" applyFont="1" applyFill="1" applyBorder="1" applyAlignment="1">
      <alignment horizontal="center" vertical="center"/>
    </xf>
    <xf numFmtId="2" fontId="23" fillId="5" borderId="33" xfId="37" applyNumberFormat="1" applyFont="1" applyFill="1" applyBorder="1" applyAlignment="1">
      <alignment horizontal="center" vertical="center"/>
    </xf>
    <xf numFmtId="166" fontId="20" fillId="5" borderId="33" xfId="0" applyNumberFormat="1" applyFont="1" applyFill="1" applyBorder="1" applyAlignment="1">
      <alignment horizontal="center" vertical="center"/>
    </xf>
    <xf numFmtId="0" fontId="31" fillId="5" borderId="17" xfId="0" applyFont="1" applyFill="1" applyBorder="1" applyAlignment="1">
      <alignment horizontal="left" vertical="center" indent="1"/>
    </xf>
    <xf numFmtId="167" fontId="23" fillId="5" borderId="40" xfId="38" applyNumberFormat="1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left" vertical="center" indent="1"/>
    </xf>
    <xf numFmtId="0" fontId="32" fillId="5" borderId="20" xfId="0" applyFont="1" applyFill="1" applyBorder="1" applyAlignment="1">
      <alignment horizontal="center" vertical="center"/>
    </xf>
    <xf numFmtId="3" fontId="32" fillId="5" borderId="20" xfId="0" applyNumberFormat="1" applyFont="1" applyFill="1" applyBorder="1" applyAlignment="1">
      <alignment horizontal="center" vertical="center"/>
    </xf>
    <xf numFmtId="2" fontId="20" fillId="5" borderId="20" xfId="0" applyNumberFormat="1" applyFont="1" applyFill="1" applyBorder="1" applyAlignment="1">
      <alignment horizontal="center" vertical="center"/>
    </xf>
    <xf numFmtId="168" fontId="32" fillId="5" borderId="20" xfId="0" applyNumberFormat="1" applyFont="1" applyFill="1" applyBorder="1" applyAlignment="1">
      <alignment horizontal="center" vertical="center"/>
    </xf>
    <xf numFmtId="169" fontId="32" fillId="5" borderId="20" xfId="0" applyNumberFormat="1" applyFont="1" applyFill="1" applyBorder="1" applyAlignment="1">
      <alignment horizontal="center" vertical="center"/>
    </xf>
    <xf numFmtId="2" fontId="32" fillId="5" borderId="20" xfId="0" applyNumberFormat="1" applyFont="1" applyFill="1" applyBorder="1" applyAlignment="1">
      <alignment horizontal="center" vertical="center"/>
    </xf>
    <xf numFmtId="166" fontId="32" fillId="5" borderId="20" xfId="0" applyNumberFormat="1" applyFont="1" applyFill="1" applyBorder="1" applyAlignment="1">
      <alignment horizontal="center" vertical="center"/>
    </xf>
    <xf numFmtId="165" fontId="32" fillId="5" borderId="20" xfId="0" applyNumberFormat="1" applyFont="1" applyFill="1" applyBorder="1" applyAlignment="1">
      <alignment horizontal="center" vertical="center"/>
    </xf>
    <xf numFmtId="167" fontId="32" fillId="5" borderId="20" xfId="0" applyNumberFormat="1" applyFont="1" applyFill="1" applyBorder="1" applyAlignment="1">
      <alignment horizontal="center" vertical="center"/>
    </xf>
    <xf numFmtId="167" fontId="32" fillId="5" borderId="4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167" fontId="0" fillId="3" borderId="1" xfId="0" applyNumberFormat="1" applyFont="1" applyFill="1" applyBorder="1" applyAlignment="1">
      <alignment horizontal="center" vertical="center"/>
    </xf>
    <xf numFmtId="0" fontId="32" fillId="5" borderId="20" xfId="0" applyFont="1" applyFill="1" applyBorder="1" applyAlignment="1">
      <alignment horizontal="left" vertical="center" indent="1"/>
    </xf>
    <xf numFmtId="3" fontId="32" fillId="5" borderId="20" xfId="0" applyNumberFormat="1" applyFont="1" applyFill="1" applyBorder="1" applyAlignment="1">
      <alignment horizontal="left" vertical="center" indent="1"/>
    </xf>
    <xf numFmtId="167" fontId="20" fillId="5" borderId="20" xfId="0" applyNumberFormat="1" applyFont="1" applyFill="1" applyBorder="1" applyAlignment="1">
      <alignment horizontal="center" vertical="center"/>
    </xf>
    <xf numFmtId="167" fontId="23" fillId="5" borderId="20" xfId="37" applyNumberFormat="1" applyFont="1" applyFill="1" applyBorder="1" applyAlignment="1">
      <alignment horizontal="center" vertical="center"/>
    </xf>
    <xf numFmtId="166" fontId="23" fillId="5" borderId="20" xfId="37" applyNumberFormat="1" applyFont="1" applyFill="1" applyBorder="1" applyAlignment="1">
      <alignment horizontal="center" vertical="center"/>
    </xf>
    <xf numFmtId="165" fontId="23" fillId="5" borderId="20" xfId="38" applyNumberFormat="1" applyFont="1" applyFill="1" applyBorder="1" applyAlignment="1">
      <alignment horizontal="center" vertical="center"/>
    </xf>
    <xf numFmtId="167" fontId="23" fillId="5" borderId="20" xfId="38" applyNumberFormat="1" applyFont="1" applyFill="1" applyBorder="1" applyAlignment="1">
      <alignment horizontal="center" vertical="center"/>
    </xf>
    <xf numFmtId="167" fontId="23" fillId="5" borderId="4" xfId="38" applyNumberFormat="1" applyFont="1" applyFill="1" applyBorder="1" applyAlignment="1">
      <alignment horizontal="center" vertical="center"/>
    </xf>
    <xf numFmtId="167" fontId="23" fillId="5" borderId="24" xfId="38" applyNumberFormat="1" applyFont="1" applyFill="1" applyBorder="1" applyAlignment="1">
      <alignment horizontal="center" vertical="center"/>
    </xf>
    <xf numFmtId="167" fontId="25" fillId="5" borderId="20" xfId="38" applyNumberFormat="1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166" fontId="23" fillId="5" borderId="24" xfId="37" applyNumberFormat="1" applyFont="1" applyFill="1" applyBorder="1" applyAlignment="1">
      <alignment horizontal="center" vertical="center"/>
    </xf>
    <xf numFmtId="166" fontId="23" fillId="5" borderId="20" xfId="38" applyNumberFormat="1" applyFont="1" applyFill="1" applyBorder="1" applyAlignment="1">
      <alignment horizontal="center" vertical="center"/>
    </xf>
    <xf numFmtId="166" fontId="23" fillId="5" borderId="63" xfId="37" applyNumberFormat="1" applyFont="1" applyFill="1" applyBorder="1" applyAlignment="1">
      <alignment horizontal="center" vertical="center"/>
    </xf>
    <xf numFmtId="166" fontId="23" fillId="5" borderId="64" xfId="37" applyNumberFormat="1" applyFont="1" applyFill="1" applyBorder="1" applyAlignment="1">
      <alignment horizontal="center" vertical="center"/>
    </xf>
    <xf numFmtId="166" fontId="23" fillId="5" borderId="4" xfId="37" applyNumberFormat="1" applyFont="1" applyFill="1" applyBorder="1" applyAlignment="1">
      <alignment horizontal="center" vertical="center"/>
    </xf>
    <xf numFmtId="166" fontId="0" fillId="5" borderId="13" xfId="0" applyNumberFormat="1" applyFont="1" applyFill="1" applyBorder="1" applyAlignment="1">
      <alignment horizontal="center" vertical="center"/>
    </xf>
    <xf numFmtId="0" fontId="20" fillId="6" borderId="49" xfId="0" applyFont="1" applyFill="1" applyBorder="1" applyAlignment="1">
      <alignment horizontal="center" vertical="center"/>
    </xf>
    <xf numFmtId="2" fontId="20" fillId="6" borderId="49" xfId="0" applyNumberFormat="1" applyFont="1" applyFill="1" applyBorder="1" applyAlignment="1">
      <alignment horizontal="center" vertical="center"/>
    </xf>
    <xf numFmtId="167" fontId="20" fillId="6" borderId="49" xfId="0" applyNumberFormat="1" applyFont="1" applyFill="1" applyBorder="1" applyAlignment="1">
      <alignment horizontal="center" vertical="center"/>
    </xf>
    <xf numFmtId="0" fontId="20" fillId="6" borderId="57" xfId="0" applyFont="1" applyFill="1" applyBorder="1" applyAlignment="1">
      <alignment horizontal="center" vertical="center"/>
    </xf>
    <xf numFmtId="0" fontId="0" fillId="5" borderId="0" xfId="0" applyFont="1" applyFill="1" applyAlignment="1">
      <alignment vertical="center"/>
    </xf>
    <xf numFmtId="166" fontId="0" fillId="3" borderId="4" xfId="0" applyNumberFormat="1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 vertical="center"/>
    </xf>
    <xf numFmtId="3" fontId="0" fillId="5" borderId="4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center"/>
    </xf>
    <xf numFmtId="0" fontId="20" fillId="5" borderId="0" xfId="0" applyFont="1" applyFill="1" applyAlignment="1">
      <alignment horizontal="left" vertical="center"/>
    </xf>
    <xf numFmtId="3" fontId="20" fillId="5" borderId="0" xfId="0" applyNumberFormat="1" applyFont="1" applyFill="1" applyAlignment="1">
      <alignment horizontal="left" vertical="center"/>
    </xf>
    <xf numFmtId="3" fontId="0" fillId="5" borderId="0" xfId="0" applyNumberFormat="1" applyFont="1" applyFill="1" applyAlignment="1">
      <alignment vertical="center"/>
    </xf>
    <xf numFmtId="2" fontId="20" fillId="5" borderId="0" xfId="0" applyNumberFormat="1" applyFont="1" applyFill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2" fontId="0" fillId="5" borderId="0" xfId="0" applyNumberFormat="1" applyFont="1" applyFill="1" applyBorder="1" applyAlignment="1">
      <alignment horizontal="left" vertical="center"/>
    </xf>
    <xf numFmtId="0" fontId="27" fillId="0" borderId="0" xfId="0" applyFont="1" applyBorder="1" applyAlignment="1">
      <alignment horizontal="left" vertical="center" indent="1"/>
    </xf>
    <xf numFmtId="0" fontId="27" fillId="5" borderId="0" xfId="0" applyFont="1" applyFill="1" applyAlignment="1">
      <alignment horizontal="left" vertical="center" indent="1"/>
    </xf>
    <xf numFmtId="0" fontId="47" fillId="6" borderId="13" xfId="0" applyFont="1" applyFill="1" applyBorder="1" applyAlignment="1">
      <alignment horizontal="center" vertical="center"/>
    </xf>
    <xf numFmtId="3" fontId="27" fillId="5" borderId="0" xfId="0" applyNumberFormat="1" applyFont="1" applyFill="1" applyBorder="1" applyAlignment="1">
      <alignment horizontal="left" vertical="center"/>
    </xf>
    <xf numFmtId="3" fontId="0" fillId="6" borderId="69" xfId="0" applyNumberFormat="1" applyFont="1" applyFill="1" applyBorder="1" applyAlignment="1">
      <alignment horizontal="center" vertical="center"/>
    </xf>
    <xf numFmtId="3" fontId="0" fillId="6" borderId="24" xfId="0" applyNumberFormat="1" applyFont="1" applyFill="1" applyBorder="1" applyAlignment="1">
      <alignment horizontal="center" vertical="center"/>
    </xf>
    <xf numFmtId="3" fontId="15" fillId="5" borderId="17" xfId="0" applyNumberFormat="1" applyFont="1" applyFill="1" applyBorder="1" applyAlignment="1">
      <alignment horizontal="center" vertical="center"/>
    </xf>
    <xf numFmtId="165" fontId="0" fillId="5" borderId="13" xfId="0" applyNumberFormat="1" applyFont="1" applyFill="1" applyBorder="1" applyAlignment="1">
      <alignment horizontal="center" vertical="center"/>
    </xf>
    <xf numFmtId="3" fontId="15" fillId="5" borderId="19" xfId="0" applyNumberFormat="1" applyFont="1" applyFill="1" applyBorder="1" applyAlignment="1">
      <alignment horizontal="center" vertical="center"/>
    </xf>
    <xf numFmtId="165" fontId="0" fillId="5" borderId="20" xfId="0" applyNumberFormat="1" applyFont="1" applyFill="1" applyBorder="1" applyAlignment="1">
      <alignment horizontal="center" vertical="center"/>
    </xf>
    <xf numFmtId="2" fontId="23" fillId="5" borderId="20" xfId="37" applyNumberFormat="1" applyFont="1" applyFill="1" applyBorder="1" applyAlignment="1">
      <alignment horizontal="center" vertical="center"/>
    </xf>
    <xf numFmtId="2" fontId="23" fillId="5" borderId="13" xfId="37" applyNumberFormat="1" applyFont="1" applyFill="1" applyBorder="1" applyAlignment="1">
      <alignment horizontal="center" vertical="center"/>
    </xf>
    <xf numFmtId="166" fontId="20" fillId="5" borderId="0" xfId="0" applyNumberFormat="1" applyFont="1" applyFill="1" applyAlignment="1">
      <alignment horizontal="center" vertical="center"/>
    </xf>
    <xf numFmtId="166" fontId="20" fillId="6" borderId="49" xfId="0" applyNumberFormat="1" applyFont="1" applyFill="1" applyBorder="1" applyAlignment="1">
      <alignment horizontal="center" vertical="center"/>
    </xf>
    <xf numFmtId="166" fontId="20" fillId="5" borderId="20" xfId="0" applyNumberFormat="1" applyFont="1" applyFill="1" applyBorder="1" applyAlignment="1">
      <alignment horizontal="center" vertical="center"/>
    </xf>
    <xf numFmtId="166" fontId="20" fillId="5" borderId="13" xfId="0" applyNumberFormat="1" applyFont="1" applyFill="1" applyBorder="1" applyAlignment="1">
      <alignment horizontal="center" vertical="center"/>
    </xf>
    <xf numFmtId="167" fontId="49" fillId="5" borderId="0" xfId="0" applyNumberFormat="1" applyFont="1" applyFill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40" fillId="0" borderId="0" xfId="0" applyFont="1" applyAlignment="1">
      <alignment horizontal="left" vertical="center" indent="1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50" fillId="0" borderId="0" xfId="0" applyFont="1" applyAlignment="1">
      <alignment horizontal="left" vertical="center" indent="1"/>
    </xf>
    <xf numFmtId="0" fontId="50" fillId="0" borderId="0" xfId="0" applyFont="1" applyAlignment="1">
      <alignment vertical="center"/>
    </xf>
    <xf numFmtId="0" fontId="26" fillId="0" borderId="0" xfId="0" applyFont="1" applyAlignment="1">
      <alignment horizontal="left" vertical="center" indent="1"/>
    </xf>
    <xf numFmtId="0" fontId="17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 indent="1"/>
    </xf>
    <xf numFmtId="0" fontId="26" fillId="0" borderId="124" xfId="0" applyFont="1" applyBorder="1" applyAlignment="1">
      <alignment horizontal="left" vertical="center" indent="1"/>
    </xf>
    <xf numFmtId="0" fontId="26" fillId="0" borderId="124" xfId="0" applyFont="1" applyBorder="1" applyAlignment="1">
      <alignment vertical="center"/>
    </xf>
    <xf numFmtId="0" fontId="0" fillId="0" borderId="124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24" fillId="3" borderId="125" xfId="0" applyFont="1" applyFill="1" applyBorder="1" applyAlignment="1">
      <alignment horizontal="left" vertical="center" indent="1"/>
    </xf>
    <xf numFmtId="0" fontId="0" fillId="3" borderId="0" xfId="0" applyFont="1" applyFill="1" applyAlignment="1">
      <alignment vertical="center"/>
    </xf>
    <xf numFmtId="0" fontId="24" fillId="3" borderId="22" xfId="0" applyFont="1" applyFill="1" applyBorder="1" applyAlignment="1">
      <alignment horizontal="center" vertical="center"/>
    </xf>
    <xf numFmtId="0" fontId="24" fillId="3" borderId="126" xfId="0" applyFont="1" applyFill="1" applyBorder="1" applyAlignment="1">
      <alignment horizontal="center" vertical="center"/>
    </xf>
    <xf numFmtId="0" fontId="0" fillId="0" borderId="124" xfId="0" applyFont="1" applyBorder="1" applyAlignment="1">
      <alignment horizontal="left" vertical="center" indent="1"/>
    </xf>
    <xf numFmtId="0" fontId="14" fillId="0" borderId="0" xfId="0" applyFont="1" applyAlignment="1">
      <alignment horizontal="left" vertical="center" indent="1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left" vertical="center" indent="2"/>
    </xf>
    <xf numFmtId="0" fontId="18" fillId="11" borderId="2" xfId="0" applyFont="1" applyFill="1" applyBorder="1" applyAlignment="1">
      <alignment horizontal="left" vertical="center" indent="1"/>
    </xf>
    <xf numFmtId="0" fontId="24" fillId="11" borderId="3" xfId="0" applyFont="1" applyFill="1" applyBorder="1" applyAlignment="1">
      <alignment vertical="center"/>
    </xf>
    <xf numFmtId="0" fontId="0" fillId="11" borderId="3" xfId="0" applyFont="1" applyFill="1" applyBorder="1" applyAlignment="1">
      <alignment vertical="center"/>
    </xf>
    <xf numFmtId="0" fontId="0" fillId="11" borderId="54" xfId="0" applyFont="1" applyFill="1" applyBorder="1" applyAlignment="1">
      <alignment vertical="center"/>
    </xf>
    <xf numFmtId="0" fontId="18" fillId="12" borderId="127" xfId="0" applyFont="1" applyFill="1" applyBorder="1" applyAlignment="1">
      <alignment horizontal="left" vertical="center" indent="1"/>
    </xf>
    <xf numFmtId="0" fontId="0" fillId="12" borderId="23" xfId="0" applyFont="1" applyFill="1" applyBorder="1" applyAlignment="1">
      <alignment vertical="center"/>
    </xf>
    <xf numFmtId="0" fontId="0" fillId="12" borderId="30" xfId="0" applyFont="1" applyFill="1" applyBorder="1" applyAlignment="1">
      <alignment vertical="center"/>
    </xf>
    <xf numFmtId="0" fontId="0" fillId="0" borderId="0" xfId="0" applyAlignment="1">
      <alignment horizontal="left" vertical="center" indent="1"/>
    </xf>
    <xf numFmtId="0" fontId="3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3" borderId="65" xfId="0" applyFont="1" applyFill="1" applyBorder="1" applyAlignment="1">
      <alignment vertical="center"/>
    </xf>
    <xf numFmtId="0" fontId="42" fillId="3" borderId="65" xfId="0" applyFont="1" applyFill="1" applyBorder="1" applyAlignment="1">
      <alignment horizontal="left" vertical="center" indent="1"/>
    </xf>
    <xf numFmtId="0" fontId="0" fillId="3" borderId="42" xfId="0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0" fontId="0" fillId="3" borderId="132" xfId="0" applyFont="1" applyFill="1" applyBorder="1" applyAlignment="1">
      <alignment vertical="center"/>
    </xf>
    <xf numFmtId="0" fontId="0" fillId="5" borderId="0" xfId="0" applyFill="1" applyBorder="1"/>
    <xf numFmtId="0" fontId="18" fillId="0" borderId="0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/>
    </xf>
    <xf numFmtId="0" fontId="43" fillId="5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4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 indent="1"/>
    </xf>
    <xf numFmtId="0" fontId="0" fillId="0" borderId="0" xfId="0" applyFont="1" applyAlignment="1">
      <alignment horizontal="left" indent="1"/>
    </xf>
    <xf numFmtId="0" fontId="24" fillId="5" borderId="0" xfId="0" applyFont="1" applyFill="1" applyBorder="1" applyAlignment="1">
      <alignment horizontal="left" vertical="center" indent="1"/>
    </xf>
    <xf numFmtId="0" fontId="0" fillId="0" borderId="54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 indent="1"/>
    </xf>
    <xf numFmtId="0" fontId="67" fillId="0" borderId="0" xfId="45" applyFont="1" applyAlignment="1">
      <alignment horizontal="center" vertical="center"/>
    </xf>
    <xf numFmtId="0" fontId="39" fillId="0" borderId="0" xfId="43" applyFont="1" applyAlignment="1">
      <alignment horizontal="left" vertical="center" indent="1"/>
    </xf>
    <xf numFmtId="0" fontId="69" fillId="0" borderId="0" xfId="43" applyFont="1" applyBorder="1" applyAlignment="1">
      <alignment horizontal="center" vertical="center"/>
    </xf>
    <xf numFmtId="0" fontId="69" fillId="0" borderId="0" xfId="43" applyFont="1" applyBorder="1" applyAlignment="1">
      <alignment horizontal="left" vertical="center" indent="1"/>
    </xf>
    <xf numFmtId="0" fontId="67" fillId="0" borderId="0" xfId="45" applyFont="1" applyAlignment="1">
      <alignment vertical="center"/>
    </xf>
    <xf numFmtId="0" fontId="67" fillId="0" borderId="0" xfId="45" applyFont="1" applyAlignment="1">
      <alignment horizontal="left" vertical="center" indent="1"/>
    </xf>
    <xf numFmtId="0" fontId="68" fillId="8" borderId="68" xfId="43" quotePrefix="1" applyFont="1" applyFill="1" applyBorder="1" applyAlignment="1">
      <alignment horizontal="left" vertical="center" indent="1"/>
    </xf>
    <xf numFmtId="0" fontId="68" fillId="8" borderId="68" xfId="43" applyFont="1" applyFill="1" applyBorder="1" applyAlignment="1">
      <alignment horizontal="left" vertical="center" indent="1"/>
    </xf>
    <xf numFmtId="0" fontId="68" fillId="8" borderId="13" xfId="43" applyFont="1" applyFill="1" applyBorder="1" applyAlignment="1">
      <alignment horizontal="left" vertical="center" indent="1"/>
    </xf>
    <xf numFmtId="0" fontId="71" fillId="0" borderId="20" xfId="45" applyFont="1" applyBorder="1" applyAlignment="1">
      <alignment horizontal="left" vertical="center" indent="1"/>
    </xf>
    <xf numFmtId="0" fontId="71" fillId="0" borderId="20" xfId="45" applyFont="1" applyBorder="1" applyAlignment="1">
      <alignment vertical="center"/>
    </xf>
    <xf numFmtId="0" fontId="67" fillId="0" borderId="140" xfId="45" applyFont="1" applyBorder="1" applyAlignment="1">
      <alignment horizontal="left" vertical="center" indent="1"/>
    </xf>
    <xf numFmtId="0" fontId="67" fillId="0" borderId="33" xfId="45" applyFont="1" applyBorder="1" applyAlignment="1">
      <alignment vertical="center"/>
    </xf>
    <xf numFmtId="0" fontId="67" fillId="0" borderId="141" xfId="45" applyFont="1" applyBorder="1" applyAlignment="1">
      <alignment vertical="center"/>
    </xf>
    <xf numFmtId="0" fontId="71" fillId="0" borderId="142" xfId="45" applyFont="1" applyBorder="1" applyAlignment="1">
      <alignment horizontal="left" vertical="center" indent="1"/>
    </xf>
    <xf numFmtId="0" fontId="71" fillId="0" borderId="13" xfId="45" applyFont="1" applyBorder="1" applyAlignment="1">
      <alignment vertical="center"/>
    </xf>
    <xf numFmtId="0" fontId="71" fillId="0" borderId="143" xfId="45" applyFont="1" applyBorder="1" applyAlignment="1">
      <alignment vertical="center"/>
    </xf>
    <xf numFmtId="0" fontId="69" fillId="8" borderId="146" xfId="43" applyFont="1" applyFill="1" applyBorder="1" applyAlignment="1">
      <alignment horizontal="left" vertical="center" indent="1"/>
    </xf>
    <xf numFmtId="0" fontId="69" fillId="0" borderId="142" xfId="43" applyFont="1" applyBorder="1" applyAlignment="1">
      <alignment horizontal="left" vertical="center" indent="1"/>
    </xf>
    <xf numFmtId="0" fontId="68" fillId="0" borderId="13" xfId="43" applyFont="1" applyBorder="1" applyAlignment="1">
      <alignment horizontal="left" vertical="center" indent="1"/>
    </xf>
    <xf numFmtId="0" fontId="68" fillId="0" borderId="143" xfId="43" applyFont="1" applyBorder="1" applyAlignment="1">
      <alignment horizontal="left" vertical="center" indent="1"/>
    </xf>
    <xf numFmtId="0" fontId="69" fillId="0" borderId="60" xfId="43" applyFont="1" applyBorder="1" applyAlignment="1">
      <alignment horizontal="left" vertical="center" indent="1"/>
    </xf>
    <xf numFmtId="0" fontId="68" fillId="0" borderId="49" xfId="43" applyFont="1" applyBorder="1" applyAlignment="1">
      <alignment horizontal="left" vertical="center" indent="1"/>
    </xf>
    <xf numFmtId="0" fontId="68" fillId="0" borderId="148" xfId="43" applyFont="1" applyBorder="1" applyAlignment="1">
      <alignment horizontal="left" vertical="center" indent="1"/>
    </xf>
    <xf numFmtId="0" fontId="69" fillId="8" borderId="140" xfId="43" applyFont="1" applyFill="1" applyBorder="1" applyAlignment="1">
      <alignment horizontal="left" vertical="center" indent="1"/>
    </xf>
    <xf numFmtId="0" fontId="69" fillId="8" borderId="75" xfId="43" applyFont="1" applyFill="1" applyBorder="1" applyAlignment="1">
      <alignment horizontal="left" vertical="center" indent="1"/>
    </xf>
    <xf numFmtId="0" fontId="69" fillId="8" borderId="142" xfId="43" applyFont="1" applyFill="1" applyBorder="1" applyAlignment="1">
      <alignment horizontal="left" vertical="center" indent="1"/>
    </xf>
    <xf numFmtId="0" fontId="69" fillId="8" borderId="73" xfId="43" applyFont="1" applyFill="1" applyBorder="1" applyAlignment="1">
      <alignment horizontal="left" vertical="center" indent="1"/>
    </xf>
    <xf numFmtId="0" fontId="69" fillId="8" borderId="74" xfId="43" applyFont="1" applyFill="1" applyBorder="1" applyAlignment="1">
      <alignment horizontal="left" vertical="center" indent="1"/>
    </xf>
    <xf numFmtId="0" fontId="69" fillId="0" borderId="151" xfId="43" applyFont="1" applyBorder="1" applyAlignment="1">
      <alignment horizontal="left" vertical="center" indent="1"/>
    </xf>
    <xf numFmtId="0" fontId="69" fillId="0" borderId="72" xfId="43" applyFont="1" applyBorder="1" applyAlignment="1">
      <alignment horizontal="left" vertical="center" indent="1"/>
    </xf>
    <xf numFmtId="0" fontId="69" fillId="0" borderId="73" xfId="43" applyFont="1" applyBorder="1" applyAlignment="1">
      <alignment horizontal="left" vertical="center" indent="1"/>
    </xf>
    <xf numFmtId="0" fontId="69" fillId="0" borderId="75" xfId="43" applyFont="1" applyBorder="1" applyAlignment="1">
      <alignment horizontal="left" vertical="center" indent="1"/>
    </xf>
    <xf numFmtId="0" fontId="69" fillId="0" borderId="153" xfId="43" applyFont="1" applyBorder="1" applyAlignment="1">
      <alignment horizontal="left" vertical="center" indent="1"/>
    </xf>
    <xf numFmtId="0" fontId="69" fillId="0" borderId="140" xfId="43" applyFont="1" applyBorder="1" applyAlignment="1">
      <alignment horizontal="left" vertical="center" indent="1"/>
    </xf>
    <xf numFmtId="0" fontId="69" fillId="0" borderId="74" xfId="43" applyFont="1" applyBorder="1" applyAlignment="1">
      <alignment horizontal="left" vertical="center" indent="1"/>
    </xf>
    <xf numFmtId="0" fontId="69" fillId="0" borderId="146" xfId="43" applyFont="1" applyBorder="1" applyAlignment="1">
      <alignment horizontal="left" vertical="center" indent="1"/>
    </xf>
    <xf numFmtId="171" fontId="69" fillId="0" borderId="0" xfId="43" applyNumberFormat="1" applyFont="1" applyBorder="1" applyAlignment="1">
      <alignment horizontal="left" vertical="center" indent="1"/>
    </xf>
    <xf numFmtId="0" fontId="69" fillId="0" borderId="0" xfId="43" applyFont="1" applyBorder="1" applyAlignment="1">
      <alignment horizontal="right" vertical="center"/>
    </xf>
    <xf numFmtId="0" fontId="72" fillId="0" borderId="0" xfId="47" applyFont="1" applyBorder="1" applyAlignment="1">
      <alignment vertical="center"/>
    </xf>
    <xf numFmtId="0" fontId="72" fillId="0" borderId="0" xfId="47" applyFont="1" applyAlignment="1">
      <alignment vertical="center"/>
    </xf>
    <xf numFmtId="0" fontId="72" fillId="0" borderId="0" xfId="47" applyFont="1" applyAlignment="1">
      <alignment horizontal="left" vertical="center" indent="1"/>
    </xf>
    <xf numFmtId="0" fontId="73" fillId="13" borderId="0" xfId="47" applyFont="1" applyFill="1" applyAlignment="1">
      <alignment vertical="center"/>
    </xf>
    <xf numFmtId="0" fontId="26" fillId="0" borderId="0" xfId="47" applyFont="1" applyAlignment="1">
      <alignment vertical="center"/>
    </xf>
    <xf numFmtId="0" fontId="17" fillId="0" borderId="0" xfId="47" applyFont="1" applyAlignment="1">
      <alignment horizontal="left" vertical="center" indent="1"/>
    </xf>
    <xf numFmtId="0" fontId="74" fillId="0" borderId="0" xfId="47" applyFont="1" applyAlignment="1">
      <alignment horizontal="left" vertical="center" indent="1"/>
    </xf>
    <xf numFmtId="0" fontId="76" fillId="0" borderId="0" xfId="48" applyFont="1" applyBorder="1" applyAlignment="1">
      <alignment horizontal="left" vertical="center" indent="1"/>
    </xf>
    <xf numFmtId="0" fontId="77" fillId="0" borderId="0" xfId="48" applyFont="1" applyBorder="1" applyAlignment="1">
      <alignment vertical="center"/>
    </xf>
    <xf numFmtId="0" fontId="77" fillId="0" borderId="0" xfId="48" applyFont="1" applyAlignment="1">
      <alignment vertical="center"/>
    </xf>
    <xf numFmtId="0" fontId="78" fillId="0" borderId="0" xfId="48" applyFont="1" applyAlignment="1">
      <alignment horizontal="left" vertical="center" indent="1"/>
    </xf>
    <xf numFmtId="0" fontId="78" fillId="0" borderId="0" xfId="48" applyFont="1" applyBorder="1" applyAlignment="1">
      <alignment vertical="center"/>
    </xf>
    <xf numFmtId="0" fontId="78" fillId="0" borderId="0" xfId="48" applyFont="1" applyBorder="1" applyAlignment="1">
      <alignment horizontal="left" vertical="center" indent="1"/>
    </xf>
    <xf numFmtId="0" fontId="26" fillId="0" borderId="0" xfId="47" applyFont="1" applyBorder="1" applyAlignment="1">
      <alignment vertical="center"/>
    </xf>
    <xf numFmtId="3" fontId="15" fillId="0" borderId="0" xfId="47" applyNumberFormat="1" applyFont="1" applyAlignment="1">
      <alignment horizontal="left" vertical="center" indent="1"/>
    </xf>
    <xf numFmtId="0" fontId="26" fillId="0" borderId="5" xfId="47" applyFont="1" applyBorder="1" applyAlignment="1">
      <alignment vertical="center"/>
    </xf>
    <xf numFmtId="0" fontId="18" fillId="0" borderId="65" xfId="47" applyFont="1" applyBorder="1" applyAlignment="1">
      <alignment vertical="center"/>
    </xf>
    <xf numFmtId="0" fontId="26" fillId="0" borderId="65" xfId="47" applyFont="1" applyBorder="1" applyAlignment="1">
      <alignment vertical="center"/>
    </xf>
    <xf numFmtId="0" fontId="14" fillId="0" borderId="5" xfId="47" applyFont="1" applyBorder="1" applyAlignment="1">
      <alignment horizontal="left" vertical="center" indent="1"/>
    </xf>
    <xf numFmtId="0" fontId="18" fillId="0" borderId="65" xfId="47" applyFont="1" applyBorder="1" applyAlignment="1">
      <alignment horizontal="left" vertical="center"/>
    </xf>
    <xf numFmtId="0" fontId="14" fillId="0" borderId="65" xfId="47" applyFont="1" applyBorder="1" applyAlignment="1">
      <alignment horizontal="left" vertical="center" indent="1"/>
    </xf>
    <xf numFmtId="0" fontId="14" fillId="0" borderId="5" xfId="47" applyFont="1" applyBorder="1" applyAlignment="1">
      <alignment horizontal="center" vertical="center"/>
    </xf>
    <xf numFmtId="0" fontId="37" fillId="0" borderId="65" xfId="47" applyFont="1" applyBorder="1" applyAlignment="1">
      <alignment horizontal="left" vertical="center" indent="3"/>
    </xf>
    <xf numFmtId="0" fontId="15" fillId="0" borderId="65" xfId="47" applyFont="1" applyBorder="1" applyAlignment="1">
      <alignment horizontal="left" vertical="center" indent="1"/>
    </xf>
    <xf numFmtId="0" fontId="15" fillId="5" borderId="42" xfId="47" applyFont="1" applyFill="1" applyBorder="1" applyAlignment="1">
      <alignment horizontal="left" vertical="center" indent="1"/>
    </xf>
    <xf numFmtId="0" fontId="26" fillId="0" borderId="42" xfId="47" applyFont="1" applyBorder="1" applyAlignment="1">
      <alignment vertical="center"/>
    </xf>
    <xf numFmtId="0" fontId="26" fillId="0" borderId="0" xfId="47" applyFont="1" applyAlignment="1">
      <alignment horizontal="left" vertical="center" indent="1"/>
    </xf>
    <xf numFmtId="0" fontId="18" fillId="0" borderId="114" xfId="47" applyFont="1" applyBorder="1" applyAlignment="1">
      <alignment horizontal="left" vertical="center" indent="2"/>
    </xf>
    <xf numFmtId="0" fontId="18" fillId="0" borderId="0" xfId="47" applyFont="1" applyBorder="1" applyAlignment="1">
      <alignment horizontal="left" vertical="center" indent="2"/>
    </xf>
    <xf numFmtId="0" fontId="26" fillId="0" borderId="115" xfId="47" applyFont="1" applyBorder="1" applyAlignment="1">
      <alignment vertical="center"/>
    </xf>
    <xf numFmtId="0" fontId="18" fillId="0" borderId="114" xfId="47" applyFont="1" applyBorder="1" applyAlignment="1">
      <alignment horizontal="left" vertical="center" indent="3"/>
    </xf>
    <xf numFmtId="0" fontId="18" fillId="0" borderId="0" xfId="47" applyFont="1" applyBorder="1" applyAlignment="1">
      <alignment horizontal="left" vertical="center" indent="4"/>
    </xf>
    <xf numFmtId="3" fontId="72" fillId="0" borderId="0" xfId="47" applyNumberFormat="1" applyFont="1" applyBorder="1" applyAlignment="1">
      <alignment horizontal="left" vertical="center" indent="2"/>
    </xf>
    <xf numFmtId="0" fontId="72" fillId="3" borderId="17" xfId="47" applyFont="1" applyFill="1" applyBorder="1" applyAlignment="1">
      <alignment horizontal="center" vertical="center"/>
    </xf>
    <xf numFmtId="3" fontId="15" fillId="0" borderId="74" xfId="47" applyNumberFormat="1" applyFont="1" applyBorder="1" applyAlignment="1">
      <alignment horizontal="left" vertical="center" indent="1"/>
    </xf>
    <xf numFmtId="0" fontId="72" fillId="0" borderId="74" xfId="47" applyFont="1" applyBorder="1" applyAlignment="1">
      <alignment vertical="center"/>
    </xf>
    <xf numFmtId="3" fontId="15" fillId="0" borderId="74" xfId="47" applyNumberFormat="1" applyFont="1" applyBorder="1" applyAlignment="1">
      <alignment vertical="center"/>
    </xf>
    <xf numFmtId="0" fontId="72" fillId="0" borderId="74" xfId="47" applyFont="1" applyBorder="1" applyAlignment="1">
      <alignment horizontal="left" vertical="center" indent="1"/>
    </xf>
    <xf numFmtId="0" fontId="20" fillId="3" borderId="17" xfId="47" applyFont="1" applyFill="1" applyBorder="1" applyAlignment="1">
      <alignment horizontal="center" vertical="center"/>
    </xf>
    <xf numFmtId="0" fontId="15" fillId="0" borderId="74" xfId="47" applyFont="1" applyBorder="1" applyAlignment="1">
      <alignment horizontal="left" vertical="center" indent="1"/>
    </xf>
    <xf numFmtId="0" fontId="18" fillId="0" borderId="114" xfId="47" applyFont="1" applyBorder="1" applyAlignment="1">
      <alignment vertical="center"/>
    </xf>
    <xf numFmtId="0" fontId="72" fillId="0" borderId="114" xfId="47" applyFont="1" applyBorder="1" applyAlignment="1">
      <alignment vertical="center"/>
    </xf>
    <xf numFmtId="0" fontId="18" fillId="0" borderId="0" xfId="47" applyFont="1" applyBorder="1" applyAlignment="1">
      <alignment vertical="center"/>
    </xf>
    <xf numFmtId="0" fontId="18" fillId="0" borderId="0" xfId="47" applyFont="1" applyBorder="1" applyAlignment="1">
      <alignment horizontal="left" vertical="center" indent="1"/>
    </xf>
    <xf numFmtId="0" fontId="72" fillId="3" borderId="104" xfId="47" applyFont="1" applyFill="1" applyBorder="1" applyAlignment="1">
      <alignment vertical="center"/>
    </xf>
    <xf numFmtId="0" fontId="72" fillId="3" borderId="157" xfId="47" applyFont="1" applyFill="1" applyBorder="1" applyAlignment="1">
      <alignment vertical="center"/>
    </xf>
    <xf numFmtId="3" fontId="72" fillId="0" borderId="125" xfId="47" applyNumberFormat="1" applyFont="1" applyBorder="1" applyAlignment="1">
      <alignment horizontal="left" vertical="center" indent="2"/>
    </xf>
    <xf numFmtId="0" fontId="72" fillId="0" borderId="22" xfId="47" applyFont="1" applyBorder="1" applyAlignment="1">
      <alignment vertical="center"/>
    </xf>
    <xf numFmtId="3" fontId="72" fillId="0" borderId="0" xfId="47" applyNumberFormat="1" applyFont="1" applyAlignment="1">
      <alignment horizontal="left" vertical="center" indent="1"/>
    </xf>
    <xf numFmtId="3" fontId="72" fillId="3" borderId="17" xfId="47" applyNumberFormat="1" applyFont="1" applyFill="1" applyBorder="1" applyAlignment="1">
      <alignment horizontal="center" vertical="center"/>
    </xf>
    <xf numFmtId="3" fontId="15" fillId="0" borderId="0" xfId="47" applyNumberFormat="1" applyFont="1" applyBorder="1" applyAlignment="1">
      <alignment horizontal="left" vertical="center" indent="1"/>
    </xf>
    <xf numFmtId="3" fontId="15" fillId="0" borderId="0" xfId="47" applyNumberFormat="1" applyFont="1" applyBorder="1" applyAlignment="1">
      <alignment vertical="center"/>
    </xf>
    <xf numFmtId="0" fontId="72" fillId="0" borderId="0" xfId="47" applyFont="1" applyBorder="1" applyAlignment="1">
      <alignment horizontal="left" vertical="center" indent="1"/>
    </xf>
    <xf numFmtId="0" fontId="15" fillId="0" borderId="0" xfId="47" applyFont="1" applyBorder="1" applyAlignment="1">
      <alignment horizontal="left" vertical="center" indent="1"/>
    </xf>
    <xf numFmtId="0" fontId="72" fillId="0" borderId="159" xfId="47" applyFont="1" applyBorder="1" applyAlignment="1">
      <alignment horizontal="left" vertical="center" indent="1"/>
    </xf>
    <xf numFmtId="0" fontId="72" fillId="5" borderId="0" xfId="47" applyFont="1" applyFill="1" applyBorder="1" applyAlignment="1">
      <alignment horizontal="center" vertical="center"/>
    </xf>
    <xf numFmtId="0" fontId="24" fillId="0" borderId="114" xfId="47" applyFont="1" applyBorder="1" applyAlignment="1">
      <alignment horizontal="left" vertical="center" indent="1"/>
    </xf>
    <xf numFmtId="0" fontId="72" fillId="0" borderId="25" xfId="47" applyFont="1" applyBorder="1" applyAlignment="1">
      <alignment horizontal="left" vertical="center" indent="1"/>
    </xf>
    <xf numFmtId="0" fontId="72" fillId="0" borderId="115" xfId="47" applyFont="1" applyBorder="1" applyAlignment="1">
      <alignment vertical="center"/>
    </xf>
    <xf numFmtId="0" fontId="80" fillId="10" borderId="130" xfId="47" applyFont="1" applyFill="1" applyBorder="1" applyAlignment="1">
      <alignment vertical="center"/>
    </xf>
    <xf numFmtId="0" fontId="82" fillId="10" borderId="0" xfId="47" applyFont="1" applyFill="1" applyAlignment="1">
      <alignment vertical="center"/>
    </xf>
    <xf numFmtId="0" fontId="72" fillId="10" borderId="0" xfId="47" applyFont="1" applyFill="1" applyBorder="1" applyAlignment="1">
      <alignment vertical="center"/>
    </xf>
    <xf numFmtId="0" fontId="72" fillId="10" borderId="23" xfId="47" applyFont="1" applyFill="1" applyBorder="1" applyAlignment="1">
      <alignment vertical="center"/>
    </xf>
    <xf numFmtId="3" fontId="72" fillId="10" borderId="0" xfId="47" applyNumberFormat="1" applyFont="1" applyFill="1" applyBorder="1" applyAlignment="1">
      <alignment vertical="center"/>
    </xf>
    <xf numFmtId="0" fontId="72" fillId="0" borderId="130" xfId="47" applyFont="1" applyBorder="1" applyAlignment="1">
      <alignment horizontal="left" vertical="center" indent="1"/>
    </xf>
    <xf numFmtId="3" fontId="72" fillId="3" borderId="19" xfId="47" applyNumberFormat="1" applyFont="1" applyFill="1" applyBorder="1" applyAlignment="1">
      <alignment horizontal="center" vertical="center"/>
    </xf>
    <xf numFmtId="3" fontId="15" fillId="0" borderId="163" xfId="47" applyNumberFormat="1" applyFont="1" applyBorder="1" applyAlignment="1">
      <alignment horizontal="left" vertical="center" indent="1"/>
    </xf>
    <xf numFmtId="0" fontId="72" fillId="0" borderId="163" xfId="47" applyFont="1" applyBorder="1" applyAlignment="1">
      <alignment vertical="center"/>
    </xf>
    <xf numFmtId="0" fontId="72" fillId="3" borderId="19" xfId="47" applyFont="1" applyFill="1" applyBorder="1" applyAlignment="1">
      <alignment horizontal="center" vertical="center"/>
    </xf>
    <xf numFmtId="3" fontId="15" fillId="0" borderId="163" xfId="47" applyNumberFormat="1" applyFont="1" applyBorder="1" applyAlignment="1">
      <alignment vertical="center"/>
    </xf>
    <xf numFmtId="0" fontId="72" fillId="0" borderId="163" xfId="47" applyFont="1" applyBorder="1" applyAlignment="1">
      <alignment horizontal="left" vertical="center" indent="1"/>
    </xf>
    <xf numFmtId="0" fontId="72" fillId="0" borderId="114" xfId="47" applyFont="1" applyBorder="1" applyAlignment="1">
      <alignment horizontal="left" vertical="center" indent="1"/>
    </xf>
    <xf numFmtId="0" fontId="72" fillId="14" borderId="7" xfId="47" applyFont="1" applyFill="1" applyBorder="1" applyAlignment="1">
      <alignment horizontal="left" vertical="center" indent="1"/>
    </xf>
    <xf numFmtId="0" fontId="72" fillId="14" borderId="0" xfId="47" applyFont="1" applyFill="1" applyBorder="1" applyAlignment="1">
      <alignment horizontal="left" vertical="center" indent="1"/>
    </xf>
    <xf numFmtId="0" fontId="72" fillId="0" borderId="115" xfId="47" applyFont="1" applyBorder="1" applyAlignment="1">
      <alignment horizontal="left" vertical="center" indent="1"/>
    </xf>
    <xf numFmtId="0" fontId="72" fillId="0" borderId="0" xfId="47" applyFont="1" applyBorder="1" applyAlignment="1">
      <alignment horizontal="left" vertical="center" indent="2"/>
    </xf>
    <xf numFmtId="0" fontId="72" fillId="5" borderId="34" xfId="47" applyFont="1" applyFill="1" applyBorder="1" applyAlignment="1">
      <alignment vertical="center"/>
    </xf>
    <xf numFmtId="0" fontId="80" fillId="10" borderId="130" xfId="47" applyFont="1" applyFill="1" applyBorder="1" applyAlignment="1">
      <alignment horizontal="left" vertical="center" indent="1"/>
    </xf>
    <xf numFmtId="0" fontId="82" fillId="10" borderId="0" xfId="47" applyFont="1" applyFill="1" applyAlignment="1">
      <alignment horizontal="left" vertical="center" indent="1"/>
    </xf>
    <xf numFmtId="0" fontId="72" fillId="10" borderId="0" xfId="47" applyFont="1" applyFill="1" applyAlignment="1">
      <alignment vertical="center"/>
    </xf>
    <xf numFmtId="0" fontId="72" fillId="10" borderId="131" xfId="47" applyFont="1" applyFill="1" applyBorder="1" applyAlignment="1">
      <alignment vertical="center"/>
    </xf>
    <xf numFmtId="0" fontId="72" fillId="5" borderId="125" xfId="47" applyFont="1" applyFill="1" applyBorder="1" applyAlignment="1">
      <alignment vertical="center"/>
    </xf>
    <xf numFmtId="3" fontId="72" fillId="0" borderId="133" xfId="47" applyNumberFormat="1" applyFont="1" applyBorder="1" applyAlignment="1">
      <alignment horizontal="left" vertical="center" indent="1"/>
    </xf>
    <xf numFmtId="0" fontId="72" fillId="0" borderId="39" xfId="47" applyFont="1" applyBorder="1" applyAlignment="1">
      <alignment vertical="center"/>
    </xf>
    <xf numFmtId="0" fontId="72" fillId="0" borderId="39" xfId="47" applyFont="1" applyBorder="1" applyAlignment="1">
      <alignment horizontal="left" vertical="center" indent="1"/>
    </xf>
    <xf numFmtId="0" fontId="30" fillId="0" borderId="9" xfId="47" applyFont="1" applyBorder="1" applyAlignment="1">
      <alignment horizontal="left" vertical="center" indent="1"/>
    </xf>
    <xf numFmtId="0" fontId="20" fillId="3" borderId="19" xfId="47" applyFont="1" applyFill="1" applyBorder="1" applyAlignment="1">
      <alignment horizontal="center" vertical="center"/>
    </xf>
    <xf numFmtId="0" fontId="15" fillId="0" borderId="163" xfId="47" applyFont="1" applyBorder="1" applyAlignment="1">
      <alignment horizontal="left" vertical="center" indent="1"/>
    </xf>
    <xf numFmtId="3" fontId="72" fillId="0" borderId="0" xfId="47" applyNumberFormat="1" applyFont="1" applyAlignment="1">
      <alignment vertical="center"/>
    </xf>
    <xf numFmtId="0" fontId="72" fillId="14" borderId="7" xfId="47" applyFont="1" applyFill="1" applyBorder="1" applyAlignment="1">
      <alignment vertical="center"/>
    </xf>
    <xf numFmtId="0" fontId="72" fillId="14" borderId="0" xfId="47" applyFont="1" applyFill="1" applyBorder="1" applyAlignment="1">
      <alignment vertical="center"/>
    </xf>
    <xf numFmtId="0" fontId="72" fillId="0" borderId="170" xfId="47" applyFont="1" applyBorder="1" applyAlignment="1">
      <alignment vertical="center"/>
    </xf>
    <xf numFmtId="0" fontId="80" fillId="10" borderId="125" xfId="47" applyFont="1" applyFill="1" applyBorder="1" applyAlignment="1">
      <alignment horizontal="left" vertical="center" indent="1"/>
    </xf>
    <xf numFmtId="0" fontId="82" fillId="10" borderId="22" xfId="47" applyFont="1" applyFill="1" applyBorder="1" applyAlignment="1">
      <alignment horizontal="left" vertical="center" indent="2"/>
    </xf>
    <xf numFmtId="0" fontId="72" fillId="10" borderId="22" xfId="47" applyFont="1" applyFill="1" applyBorder="1" applyAlignment="1">
      <alignment horizontal="left" vertical="center" indent="1"/>
    </xf>
    <xf numFmtId="0" fontId="72" fillId="10" borderId="22" xfId="47" applyFont="1" applyFill="1" applyBorder="1" applyAlignment="1">
      <alignment vertical="center"/>
    </xf>
    <xf numFmtId="0" fontId="72" fillId="10" borderId="125" xfId="47" applyFont="1" applyFill="1" applyBorder="1" applyAlignment="1">
      <alignment vertical="center"/>
    </xf>
    <xf numFmtId="0" fontId="72" fillId="0" borderId="162" xfId="47" applyFont="1" applyBorder="1" applyAlignment="1">
      <alignment vertical="center"/>
    </xf>
    <xf numFmtId="0" fontId="83" fillId="10" borderId="22" xfId="47" applyFont="1" applyFill="1" applyBorder="1" applyAlignment="1">
      <alignment vertical="center"/>
    </xf>
    <xf numFmtId="0" fontId="84" fillId="10" borderId="0" xfId="47" applyFont="1" applyFill="1" applyAlignment="1">
      <alignment vertical="center"/>
    </xf>
    <xf numFmtId="0" fontId="72" fillId="10" borderId="0" xfId="47" applyFont="1" applyFill="1" applyAlignment="1">
      <alignment horizontal="left" vertical="center" indent="1"/>
    </xf>
    <xf numFmtId="0" fontId="32" fillId="0" borderId="0" xfId="47" applyFont="1" applyBorder="1" applyAlignment="1">
      <alignment horizontal="center" vertical="center"/>
    </xf>
    <xf numFmtId="0" fontId="80" fillId="10" borderId="0" xfId="47" applyFont="1" applyFill="1" applyAlignment="1">
      <alignment vertical="center"/>
    </xf>
    <xf numFmtId="0" fontId="85" fillId="10" borderId="0" xfId="47" applyFont="1" applyFill="1" applyAlignment="1">
      <alignment vertical="center"/>
    </xf>
    <xf numFmtId="0" fontId="86" fillId="10" borderId="0" xfId="47" applyFont="1" applyFill="1" applyAlignment="1">
      <alignment vertical="center"/>
    </xf>
    <xf numFmtId="0" fontId="37" fillId="10" borderId="173" xfId="47" applyFont="1" applyFill="1" applyBorder="1" applyAlignment="1">
      <alignment horizontal="left" vertical="center" indent="1"/>
    </xf>
    <xf numFmtId="0" fontId="86" fillId="10" borderId="173" xfId="47" applyFont="1" applyFill="1" applyBorder="1" applyAlignment="1">
      <alignment vertical="center"/>
    </xf>
    <xf numFmtId="0" fontId="80" fillId="10" borderId="0" xfId="47" applyFont="1" applyFill="1" applyAlignment="1">
      <alignment horizontal="left" vertical="center" indent="1"/>
    </xf>
    <xf numFmtId="0" fontId="87" fillId="10" borderId="0" xfId="47" applyFont="1" applyFill="1" applyAlignment="1">
      <alignment vertical="center"/>
    </xf>
    <xf numFmtId="0" fontId="88" fillId="10" borderId="0" xfId="47" applyFont="1" applyFill="1" applyAlignment="1">
      <alignment vertical="center"/>
    </xf>
    <xf numFmtId="0" fontId="80" fillId="10" borderId="174" xfId="47" applyFont="1" applyFill="1" applyBorder="1" applyAlignment="1">
      <alignment horizontal="left" vertical="center" indent="1"/>
    </xf>
    <xf numFmtId="0" fontId="72" fillId="10" borderId="54" xfId="47" applyFont="1" applyFill="1" applyBorder="1" applyAlignment="1">
      <alignment vertical="center"/>
    </xf>
    <xf numFmtId="0" fontId="72" fillId="0" borderId="29" xfId="47" applyFont="1" applyBorder="1" applyAlignment="1">
      <alignment horizontal="left" vertical="center" indent="2"/>
    </xf>
    <xf numFmtId="0" fontId="72" fillId="0" borderId="29" xfId="47" applyFont="1" applyBorder="1" applyAlignment="1">
      <alignment horizontal="left" vertical="center" indent="1"/>
    </xf>
    <xf numFmtId="0" fontId="72" fillId="16" borderId="175" xfId="47" applyFont="1" applyFill="1" applyBorder="1" applyAlignment="1">
      <alignment horizontal="left" vertical="center" indent="1"/>
    </xf>
    <xf numFmtId="0" fontId="72" fillId="15" borderId="176" xfId="47" applyFont="1" applyFill="1" applyBorder="1" applyAlignment="1">
      <alignment horizontal="left" vertical="center" indent="1"/>
    </xf>
    <xf numFmtId="0" fontId="24" fillId="15" borderId="177" xfId="47" applyFont="1" applyFill="1" applyBorder="1" applyAlignment="1">
      <alignment horizontal="left" vertical="center" indent="1"/>
    </xf>
    <xf numFmtId="0" fontId="24" fillId="15" borderId="178" xfId="47" applyFont="1" applyFill="1" applyBorder="1" applyAlignment="1">
      <alignment horizontal="left" vertical="center" indent="1"/>
    </xf>
    <xf numFmtId="0" fontId="24" fillId="0" borderId="112" xfId="47" applyFont="1" applyBorder="1" applyAlignment="1">
      <alignment vertical="center"/>
    </xf>
    <xf numFmtId="0" fontId="72" fillId="0" borderId="95" xfId="47" applyFont="1" applyBorder="1" applyAlignment="1">
      <alignment horizontal="left" vertical="center" indent="1"/>
    </xf>
    <xf numFmtId="0" fontId="72" fillId="0" borderId="113" xfId="47" applyFont="1" applyBorder="1" applyAlignment="1">
      <alignment horizontal="left" vertical="center" indent="1"/>
    </xf>
    <xf numFmtId="0" fontId="72" fillId="14" borderId="179" xfId="47" applyFont="1" applyFill="1" applyBorder="1" applyAlignment="1">
      <alignment vertical="center"/>
    </xf>
    <xf numFmtId="0" fontId="72" fillId="0" borderId="22" xfId="47" applyFont="1" applyBorder="1" applyAlignment="1">
      <alignment horizontal="left" vertical="center" indent="1"/>
    </xf>
    <xf numFmtId="0" fontId="72" fillId="5" borderId="180" xfId="47" applyFont="1" applyFill="1" applyBorder="1" applyAlignment="1">
      <alignment vertical="center"/>
    </xf>
    <xf numFmtId="0" fontId="79" fillId="0" borderId="182" xfId="48" applyFont="1" applyBorder="1" applyAlignment="1">
      <alignment horizontal="left" textRotation="90" wrapText="1"/>
    </xf>
    <xf numFmtId="0" fontId="79" fillId="0" borderId="168" xfId="48" applyFont="1" applyBorder="1" applyAlignment="1">
      <alignment horizontal="left" textRotation="90" wrapText="1"/>
    </xf>
    <xf numFmtId="0" fontId="79" fillId="0" borderId="183" xfId="48" applyFont="1" applyBorder="1" applyAlignment="1">
      <alignment horizontal="left" textRotation="90" wrapText="1"/>
    </xf>
    <xf numFmtId="0" fontId="31" fillId="17" borderId="108" xfId="47" applyFont="1" applyFill="1" applyBorder="1" applyAlignment="1">
      <alignment horizontal="left" vertical="center"/>
    </xf>
    <xf numFmtId="0" fontId="31" fillId="17" borderId="109" xfId="47" applyFont="1" applyFill="1" applyBorder="1" applyAlignment="1">
      <alignment horizontal="left" vertical="center"/>
    </xf>
    <xf numFmtId="0" fontId="89" fillId="17" borderId="109" xfId="47" applyFont="1" applyFill="1" applyBorder="1" applyAlignment="1">
      <alignment horizontal="left" vertical="center"/>
    </xf>
    <xf numFmtId="0" fontId="72" fillId="3" borderId="0" xfId="47" applyFont="1" applyFill="1" applyAlignment="1">
      <alignment vertical="center"/>
    </xf>
    <xf numFmtId="0" fontId="72" fillId="3" borderId="108" xfId="47" applyFont="1" applyFill="1" applyBorder="1" applyAlignment="1">
      <alignment vertical="center"/>
    </xf>
    <xf numFmtId="0" fontId="29" fillId="17" borderId="110" xfId="47" applyFont="1" applyFill="1" applyBorder="1" applyAlignment="1">
      <alignment horizontal="center" vertical="center"/>
    </xf>
    <xf numFmtId="0" fontId="18" fillId="0" borderId="184" xfId="47" applyFont="1" applyBorder="1" applyAlignment="1">
      <alignment horizontal="left" vertical="center" indent="1"/>
    </xf>
    <xf numFmtId="0" fontId="72" fillId="0" borderId="185" xfId="47" applyFont="1" applyBorder="1" applyAlignment="1">
      <alignment horizontal="left" vertical="center" indent="1"/>
    </xf>
    <xf numFmtId="0" fontId="72" fillId="0" borderId="65" xfId="47" applyFont="1" applyBorder="1" applyAlignment="1">
      <alignment vertical="center"/>
    </xf>
    <xf numFmtId="0" fontId="72" fillId="0" borderId="65" xfId="47" applyFont="1" applyBorder="1" applyAlignment="1">
      <alignment horizontal="left" vertical="center" indent="1"/>
    </xf>
    <xf numFmtId="0" fontId="72" fillId="18" borderId="186" xfId="47" applyFont="1" applyFill="1" applyBorder="1" applyAlignment="1">
      <alignment horizontal="left" vertical="center" indent="1"/>
    </xf>
    <xf numFmtId="0" fontId="72" fillId="15" borderId="54" xfId="47" applyFont="1" applyFill="1" applyBorder="1" applyAlignment="1">
      <alignment horizontal="left" vertical="center" indent="1"/>
    </xf>
    <xf numFmtId="0" fontId="72" fillId="15" borderId="1" xfId="47" applyFont="1" applyFill="1" applyBorder="1" applyAlignment="1">
      <alignment horizontal="left" vertical="center" indent="1"/>
    </xf>
    <xf numFmtId="0" fontId="72" fillId="15" borderId="187" xfId="47" applyFont="1" applyFill="1" applyBorder="1" applyAlignment="1">
      <alignment horizontal="left" vertical="center" indent="1"/>
    </xf>
    <xf numFmtId="0" fontId="33" fillId="19" borderId="188" xfId="47" applyFont="1" applyFill="1" applyBorder="1" applyAlignment="1">
      <alignment horizontal="center" vertical="center"/>
    </xf>
    <xf numFmtId="0" fontId="72" fillId="0" borderId="0" xfId="47" applyFont="1" applyBorder="1" applyAlignment="1">
      <alignment horizontal="left" vertical="center"/>
    </xf>
    <xf numFmtId="0" fontId="72" fillId="0" borderId="115" xfId="47" applyFont="1" applyBorder="1" applyAlignment="1">
      <alignment horizontal="left" vertical="center"/>
    </xf>
    <xf numFmtId="0" fontId="72" fillId="0" borderId="112" xfId="47" applyFont="1" applyBorder="1" applyAlignment="1">
      <alignment vertical="center"/>
    </xf>
    <xf numFmtId="0" fontId="72" fillId="14" borderId="95" xfId="47" applyFont="1" applyFill="1" applyBorder="1" applyAlignment="1">
      <alignment vertical="center"/>
    </xf>
    <xf numFmtId="0" fontId="72" fillId="14" borderId="189" xfId="47" applyFont="1" applyFill="1" applyBorder="1" applyAlignment="1">
      <alignment vertical="center"/>
    </xf>
    <xf numFmtId="0" fontId="72" fillId="14" borderId="190" xfId="47" applyFont="1" applyFill="1" applyBorder="1" applyAlignment="1">
      <alignment vertical="center"/>
    </xf>
    <xf numFmtId="0" fontId="72" fillId="0" borderId="191" xfId="47" applyFont="1" applyBorder="1" applyAlignment="1">
      <alignment vertical="center"/>
    </xf>
    <xf numFmtId="0" fontId="72" fillId="0" borderId="192" xfId="47" applyFont="1" applyBorder="1" applyAlignment="1">
      <alignment vertical="center"/>
    </xf>
    <xf numFmtId="0" fontId="72" fillId="0" borderId="193" xfId="47" applyFont="1" applyBorder="1" applyAlignment="1">
      <alignment vertical="center"/>
    </xf>
    <xf numFmtId="0" fontId="72" fillId="14" borderId="194" xfId="47" applyFont="1" applyFill="1" applyBorder="1" applyAlignment="1">
      <alignment vertical="center"/>
    </xf>
    <xf numFmtId="0" fontId="72" fillId="5" borderId="190" xfId="47" applyFont="1" applyFill="1" applyBorder="1" applyAlignment="1">
      <alignment vertical="center"/>
    </xf>
    <xf numFmtId="0" fontId="72" fillId="0" borderId="113" xfId="47" applyFont="1" applyBorder="1" applyAlignment="1">
      <alignment vertical="center"/>
    </xf>
    <xf numFmtId="0" fontId="52" fillId="0" borderId="32" xfId="48" applyFont="1" applyBorder="1" applyAlignment="1">
      <alignment vertical="center" wrapText="1"/>
    </xf>
    <xf numFmtId="0" fontId="52" fillId="0" borderId="0" xfId="48" applyFont="1" applyBorder="1" applyAlignment="1">
      <alignment vertical="center" wrapText="1"/>
    </xf>
    <xf numFmtId="0" fontId="52" fillId="0" borderId="53" xfId="48" applyFont="1" applyBorder="1" applyAlignment="1">
      <alignment horizontal="left" vertical="center" indent="1"/>
    </xf>
    <xf numFmtId="0" fontId="52" fillId="0" borderId="195" xfId="48" applyFont="1" applyBorder="1" applyAlignment="1">
      <alignment horizontal="center" vertical="center" wrapText="1"/>
    </xf>
    <xf numFmtId="0" fontId="52" fillId="0" borderId="27" xfId="48" applyFont="1" applyBorder="1" applyAlignment="1">
      <alignment horizontal="center" vertical="center" wrapText="1"/>
    </xf>
    <xf numFmtId="0" fontId="52" fillId="0" borderId="196" xfId="48" applyFont="1" applyBorder="1" applyAlignment="1">
      <alignment horizontal="center" vertical="center" wrapText="1"/>
    </xf>
    <xf numFmtId="0" fontId="52" fillId="0" borderId="45" xfId="48" applyFont="1" applyBorder="1" applyAlignment="1">
      <alignment horizontal="center" vertical="center"/>
    </xf>
    <xf numFmtId="0" fontId="52" fillId="0" borderId="53" xfId="48" applyFont="1" applyBorder="1" applyAlignment="1">
      <alignment horizontal="center" vertical="center" wrapText="1"/>
    </xf>
    <xf numFmtId="0" fontId="52" fillId="0" borderId="33" xfId="48" applyFont="1" applyBorder="1" applyAlignment="1">
      <alignment horizontal="center" vertical="center" wrapText="1"/>
    </xf>
    <xf numFmtId="0" fontId="52" fillId="0" borderId="140" xfId="48" applyFont="1" applyBorder="1" applyAlignment="1">
      <alignment horizontal="center" vertical="center" wrapText="1"/>
    </xf>
    <xf numFmtId="0" fontId="52" fillId="0" borderId="45" xfId="48" applyFont="1" applyBorder="1" applyAlignment="1">
      <alignment horizontal="left" vertical="center" indent="2"/>
    </xf>
    <xf numFmtId="0" fontId="52" fillId="0" borderId="140" xfId="48" applyFont="1" applyBorder="1" applyAlignment="1">
      <alignment horizontal="left" vertical="center" indent="1"/>
    </xf>
    <xf numFmtId="0" fontId="52" fillId="0" borderId="40" xfId="48" applyFont="1" applyBorder="1" applyAlignment="1">
      <alignment horizontal="center" vertical="center" wrapText="1"/>
    </xf>
    <xf numFmtId="0" fontId="72" fillId="3" borderId="102" xfId="47" applyFont="1" applyFill="1" applyBorder="1" applyAlignment="1">
      <alignment vertical="center"/>
    </xf>
    <xf numFmtId="0" fontId="31" fillId="17" borderId="13" xfId="47" applyFont="1" applyFill="1" applyBorder="1" applyAlignment="1">
      <alignment horizontal="center" vertical="center"/>
    </xf>
    <xf numFmtId="0" fontId="32" fillId="3" borderId="13" xfId="47" applyFont="1" applyFill="1" applyBorder="1" applyAlignment="1">
      <alignment vertical="center"/>
    </xf>
    <xf numFmtId="0" fontId="33" fillId="20" borderId="103" xfId="47" applyFont="1" applyFill="1" applyBorder="1" applyAlignment="1">
      <alignment horizontal="center" vertical="center"/>
    </xf>
    <xf numFmtId="0" fontId="29" fillId="3" borderId="36" xfId="47" applyFont="1" applyFill="1" applyBorder="1" applyAlignment="1">
      <alignment horizontal="center" vertical="center"/>
    </xf>
    <xf numFmtId="0" fontId="32" fillId="3" borderId="103" xfId="47" applyFont="1" applyFill="1" applyBorder="1" applyAlignment="1">
      <alignment vertical="center"/>
    </xf>
    <xf numFmtId="0" fontId="32" fillId="3" borderId="36" xfId="47" applyFont="1" applyFill="1" applyBorder="1" applyAlignment="1">
      <alignment vertical="center"/>
    </xf>
    <xf numFmtId="0" fontId="29" fillId="3" borderId="103" xfId="47" applyFont="1" applyFill="1" applyBorder="1" applyAlignment="1">
      <alignment horizontal="center" vertical="center"/>
    </xf>
    <xf numFmtId="0" fontId="33" fillId="20" borderId="36" xfId="47" applyFont="1" applyFill="1" applyBorder="1" applyAlignment="1">
      <alignment horizontal="center" vertical="center"/>
    </xf>
    <xf numFmtId="0" fontId="31" fillId="3" borderId="13" xfId="47" applyFont="1" applyFill="1" applyBorder="1" applyAlignment="1">
      <alignment horizontal="center" vertical="center"/>
    </xf>
    <xf numFmtId="0" fontId="72" fillId="3" borderId="103" xfId="47" applyFont="1" applyFill="1" applyBorder="1" applyAlignment="1">
      <alignment vertical="center"/>
    </xf>
    <xf numFmtId="0" fontId="72" fillId="3" borderId="2" xfId="47" applyFont="1" applyFill="1" applyBorder="1" applyAlignment="1">
      <alignment horizontal="center" vertical="center"/>
    </xf>
    <xf numFmtId="0" fontId="72" fillId="0" borderId="5" xfId="47" applyFont="1" applyBorder="1" applyAlignment="1">
      <alignment horizontal="left" vertical="center" indent="1"/>
    </xf>
    <xf numFmtId="0" fontId="72" fillId="21" borderId="186" xfId="47" applyFont="1" applyFill="1" applyBorder="1" applyAlignment="1">
      <alignment vertical="center"/>
    </xf>
    <xf numFmtId="0" fontId="72" fillId="15" borderId="1" xfId="47" applyFont="1" applyFill="1" applyBorder="1" applyAlignment="1">
      <alignment vertical="center"/>
    </xf>
    <xf numFmtId="0" fontId="72" fillId="15" borderId="187" xfId="47" applyFont="1" applyFill="1" applyBorder="1" applyAlignment="1">
      <alignment vertical="center"/>
    </xf>
    <xf numFmtId="0" fontId="72" fillId="0" borderId="117" xfId="47" applyFont="1" applyBorder="1" applyAlignment="1">
      <alignment vertical="center"/>
    </xf>
    <xf numFmtId="0" fontId="72" fillId="14" borderId="173" xfId="47" applyFont="1" applyFill="1" applyBorder="1" applyAlignment="1">
      <alignment vertical="center"/>
    </xf>
    <xf numFmtId="0" fontId="72" fillId="14" borderId="180" xfId="47" applyFont="1" applyFill="1" applyBorder="1" applyAlignment="1">
      <alignment vertical="center"/>
    </xf>
    <xf numFmtId="0" fontId="72" fillId="0" borderId="197" xfId="47" applyFont="1" applyBorder="1" applyAlignment="1">
      <alignment vertical="center"/>
    </xf>
    <xf numFmtId="0" fontId="72" fillId="0" borderId="198" xfId="47" applyFont="1" applyBorder="1" applyAlignment="1">
      <alignment vertical="center"/>
    </xf>
    <xf numFmtId="0" fontId="72" fillId="0" borderId="199" xfId="47" applyFont="1" applyBorder="1" applyAlignment="1">
      <alignment vertical="center"/>
    </xf>
    <xf numFmtId="0" fontId="72" fillId="14" borderId="181" xfId="47" applyFont="1" applyFill="1" applyBorder="1" applyAlignment="1">
      <alignment vertical="center"/>
    </xf>
    <xf numFmtId="0" fontId="72" fillId="0" borderId="118" xfId="47" applyFont="1" applyBorder="1" applyAlignment="1">
      <alignment vertical="center"/>
    </xf>
    <xf numFmtId="0" fontId="52" fillId="0" borderId="17" xfId="48" applyFont="1" applyBorder="1" applyAlignment="1">
      <alignment horizontal="left" vertical="center" indent="8"/>
    </xf>
    <xf numFmtId="0" fontId="51" fillId="0" borderId="13" xfId="48" applyFont="1" applyBorder="1" applyAlignment="1">
      <alignment horizontal="center" vertical="center" textRotation="90" wrapText="1"/>
    </xf>
    <xf numFmtId="0" fontId="52" fillId="0" borderId="14" xfId="48" applyFont="1" applyBorder="1" applyAlignment="1">
      <alignment horizontal="center" vertical="center" textRotation="90" wrapText="1"/>
    </xf>
    <xf numFmtId="0" fontId="52" fillId="0" borderId="1" xfId="48" applyFont="1" applyBorder="1" applyAlignment="1">
      <alignment horizontal="center" vertical="center" wrapText="1"/>
    </xf>
    <xf numFmtId="0" fontId="52" fillId="0" borderId="36" xfId="48" applyFont="1" applyBorder="1" applyAlignment="1">
      <alignment horizontal="center" vertical="center" wrapText="1"/>
    </xf>
    <xf numFmtId="0" fontId="52" fillId="0" borderId="43" xfId="48" applyFont="1" applyBorder="1" applyAlignment="1">
      <alignment horizontal="center" vertical="center" wrapText="1"/>
    </xf>
    <xf numFmtId="0" fontId="52" fillId="0" borderId="146" xfId="48" applyFont="1" applyBorder="1" applyAlignment="1">
      <alignment horizontal="center" vertical="center" wrapText="1"/>
    </xf>
    <xf numFmtId="0" fontId="52" fillId="0" borderId="14" xfId="48" applyFont="1" applyBorder="1" applyAlignment="1">
      <alignment horizontal="center" vertical="center" wrapText="1"/>
    </xf>
    <xf numFmtId="0" fontId="52" fillId="0" borderId="142" xfId="48" applyFont="1" applyBorder="1" applyAlignment="1">
      <alignment horizontal="center" vertical="center" wrapText="1"/>
    </xf>
    <xf numFmtId="0" fontId="52" fillId="0" borderId="24" xfId="48" applyFont="1" applyBorder="1" applyAlignment="1">
      <alignment horizontal="center" vertical="center" wrapText="1"/>
    </xf>
    <xf numFmtId="0" fontId="31" fillId="17" borderId="102" xfId="47" applyFont="1" applyFill="1" applyBorder="1" applyAlignment="1">
      <alignment horizontal="left" vertical="center"/>
    </xf>
    <xf numFmtId="0" fontId="32" fillId="17" borderId="13" xfId="47" applyFont="1" applyFill="1" applyBorder="1" applyAlignment="1">
      <alignment horizontal="left" vertical="center"/>
    </xf>
    <xf numFmtId="0" fontId="90" fillId="17" borderId="13" xfId="47" applyFont="1" applyFill="1" applyBorder="1" applyAlignment="1">
      <alignment horizontal="left" vertical="center"/>
    </xf>
    <xf numFmtId="0" fontId="33" fillId="22" borderId="200" xfId="47" applyFont="1" applyFill="1" applyBorder="1" applyAlignment="1">
      <alignment horizontal="center" vertical="center"/>
    </xf>
    <xf numFmtId="0" fontId="91" fillId="17" borderId="50" xfId="47" applyFont="1" applyFill="1" applyBorder="1" applyAlignment="1">
      <alignment horizontal="center" vertical="top"/>
    </xf>
    <xf numFmtId="0" fontId="90" fillId="17" borderId="103" xfId="47" applyFont="1" applyFill="1" applyBorder="1" applyAlignment="1">
      <alignment horizontal="center" vertical="center"/>
    </xf>
    <xf numFmtId="0" fontId="91" fillId="17" borderId="116" xfId="47" applyFont="1" applyFill="1" applyBorder="1" applyAlignment="1">
      <alignment horizontal="center" vertical="top"/>
    </xf>
    <xf numFmtId="0" fontId="33" fillId="22" borderId="120" xfId="47" applyFont="1" applyFill="1" applyBorder="1" applyAlignment="1">
      <alignment horizontal="center" vertical="center"/>
    </xf>
    <xf numFmtId="0" fontId="32" fillId="17" borderId="43" xfId="47" applyFont="1" applyFill="1" applyBorder="1" applyAlignment="1">
      <alignment horizontal="left" vertical="center"/>
    </xf>
    <xf numFmtId="0" fontId="32" fillId="17" borderId="13" xfId="47" applyFont="1" applyFill="1" applyBorder="1" applyAlignment="1">
      <alignment horizontal="center" vertical="center"/>
    </xf>
    <xf numFmtId="0" fontId="31" fillId="17" borderId="103" xfId="47" applyFont="1" applyFill="1" applyBorder="1" applyAlignment="1">
      <alignment horizontal="left" vertical="center"/>
    </xf>
    <xf numFmtId="0" fontId="72" fillId="0" borderId="7" xfId="47" applyFont="1" applyBorder="1" applyAlignment="1">
      <alignment horizontal="left" vertical="center" indent="1"/>
    </xf>
    <xf numFmtId="0" fontId="72" fillId="23" borderId="186" xfId="47" applyFont="1" applyFill="1" applyBorder="1" applyAlignment="1">
      <alignment horizontal="left" vertical="center" indent="1"/>
    </xf>
    <xf numFmtId="0" fontId="52" fillId="0" borderId="19" xfId="48" applyFont="1" applyBorder="1" applyAlignment="1">
      <alignment horizontal="left" vertical="center" indent="8"/>
    </xf>
    <xf numFmtId="0" fontId="51" fillId="0" borderId="20" xfId="48" applyFont="1" applyBorder="1" applyAlignment="1">
      <alignment horizontal="center" vertical="center" textRotation="90" wrapText="1"/>
    </xf>
    <xf numFmtId="0" fontId="52" fillId="0" borderId="38" xfId="48" applyFont="1" applyBorder="1" applyAlignment="1">
      <alignment horizontal="center" vertical="center" textRotation="90" wrapText="1"/>
    </xf>
    <xf numFmtId="3" fontId="52" fillId="0" borderId="10" xfId="48" applyNumberFormat="1" applyFont="1" applyBorder="1" applyAlignment="1">
      <alignment horizontal="center" vertical="center" wrapText="1"/>
    </xf>
    <xf numFmtId="0" fontId="52" fillId="0" borderId="201" xfId="48" applyFont="1" applyBorder="1" applyAlignment="1">
      <alignment horizontal="center" vertical="center" wrapText="1"/>
    </xf>
    <xf numFmtId="0" fontId="52" fillId="0" borderId="78" xfId="48" applyFont="1" applyBorder="1" applyAlignment="1">
      <alignment horizontal="center" vertical="center" wrapText="1"/>
    </xf>
    <xf numFmtId="0" fontId="52" fillId="0" borderId="37" xfId="48" applyFont="1" applyBorder="1" applyAlignment="1">
      <alignment horizontal="center" vertical="center" wrapText="1"/>
    </xf>
    <xf numFmtId="0" fontId="52" fillId="0" borderId="38" xfId="48" applyFont="1" applyBorder="1" applyAlignment="1">
      <alignment horizontal="center" vertical="center" wrapText="1"/>
    </xf>
    <xf numFmtId="0" fontId="52" fillId="0" borderId="4" xfId="48" applyFont="1" applyBorder="1" applyAlignment="1">
      <alignment horizontal="center" vertical="center" wrapText="1"/>
    </xf>
    <xf numFmtId="0" fontId="31" fillId="17" borderId="111" xfId="47" applyFont="1" applyFill="1" applyBorder="1" applyAlignment="1">
      <alignment horizontal="left" vertical="center"/>
    </xf>
    <xf numFmtId="0" fontId="31" fillId="17" borderId="43" xfId="47" applyFont="1" applyFill="1" applyBorder="1" applyAlignment="1">
      <alignment horizontal="left" vertical="center"/>
    </xf>
    <xf numFmtId="0" fontId="31" fillId="17" borderId="31" xfId="47" applyFont="1" applyFill="1" applyBorder="1" applyAlignment="1">
      <alignment horizontal="left" vertical="center"/>
    </xf>
    <xf numFmtId="0" fontId="89" fillId="24" borderId="202" xfId="47" applyFont="1" applyFill="1" applyBorder="1" applyAlignment="1">
      <alignment horizontal="center" vertical="center"/>
    </xf>
    <xf numFmtId="0" fontId="31" fillId="24" borderId="53" xfId="47" applyFont="1" applyFill="1" applyBorder="1" applyAlignment="1">
      <alignment horizontal="left" vertical="center"/>
    </xf>
    <xf numFmtId="0" fontId="33" fillId="22" borderId="121" xfId="47" applyFont="1" applyFill="1" applyBorder="1" applyAlignment="1">
      <alignment horizontal="center" vertical="center"/>
    </xf>
    <xf numFmtId="0" fontId="33" fillId="17" borderId="200" xfId="47" applyFont="1" applyFill="1" applyBorder="1" applyAlignment="1">
      <alignment horizontal="center" vertical="center"/>
    </xf>
    <xf numFmtId="0" fontId="29" fillId="3" borderId="122" xfId="47" applyFont="1" applyFill="1" applyBorder="1" applyAlignment="1">
      <alignment horizontal="center" vertical="center"/>
    </xf>
    <xf numFmtId="0" fontId="33" fillId="20" borderId="121" xfId="47" applyFont="1" applyFill="1" applyBorder="1" applyAlignment="1">
      <alignment horizontal="center" vertical="center"/>
    </xf>
    <xf numFmtId="0" fontId="33" fillId="20" borderId="200" xfId="47" applyFont="1" applyFill="1" applyBorder="1" applyAlignment="1">
      <alignment horizontal="center" vertical="center"/>
    </xf>
    <xf numFmtId="0" fontId="72" fillId="18" borderId="100" xfId="47" applyFont="1" applyFill="1" applyBorder="1" applyAlignment="1">
      <alignment vertical="center"/>
    </xf>
    <xf numFmtId="0" fontId="91" fillId="17" borderId="146" xfId="47" applyFont="1" applyFill="1" applyBorder="1" applyAlignment="1">
      <alignment horizontal="right" vertical="center"/>
    </xf>
    <xf numFmtId="0" fontId="31" fillId="17" borderId="106" xfId="47" applyFont="1" applyFill="1" applyBorder="1" applyAlignment="1">
      <alignment horizontal="left" vertical="center"/>
    </xf>
    <xf numFmtId="49" fontId="33" fillId="25" borderId="203" xfId="47" applyNumberFormat="1" applyFont="1" applyFill="1" applyBorder="1" applyAlignment="1">
      <alignment horizontal="center" vertical="center"/>
    </xf>
    <xf numFmtId="0" fontId="72" fillId="15" borderId="204" xfId="47" applyFont="1" applyFill="1" applyBorder="1" applyAlignment="1">
      <alignment horizontal="left" vertical="center" indent="1"/>
    </xf>
    <xf numFmtId="0" fontId="72" fillId="15" borderId="205" xfId="47" applyFont="1" applyFill="1" applyBorder="1" applyAlignment="1">
      <alignment horizontal="left" vertical="center" indent="1"/>
    </xf>
    <xf numFmtId="0" fontId="72" fillId="15" borderId="206" xfId="47" applyFont="1" applyFill="1" applyBorder="1" applyAlignment="1">
      <alignment horizontal="left" vertical="center" indent="1"/>
    </xf>
    <xf numFmtId="0" fontId="33" fillId="19" borderId="207" xfId="47" applyFont="1" applyFill="1" applyBorder="1" applyAlignment="1">
      <alignment horizontal="center" vertical="center"/>
    </xf>
    <xf numFmtId="0" fontId="72" fillId="0" borderId="173" xfId="47" applyFont="1" applyBorder="1" applyAlignment="1">
      <alignment horizontal="left" vertical="center"/>
    </xf>
    <xf numFmtId="0" fontId="72" fillId="0" borderId="118" xfId="47" applyFont="1" applyBorder="1" applyAlignment="1">
      <alignment horizontal="left" vertical="center"/>
    </xf>
    <xf numFmtId="0" fontId="52" fillId="0" borderId="67" xfId="48" applyFont="1" applyBorder="1" applyAlignment="1">
      <alignment horizontal="right" vertical="center" indent="1"/>
    </xf>
    <xf numFmtId="0" fontId="51" fillId="0" borderId="68" xfId="48" applyFont="1" applyBorder="1" applyAlignment="1">
      <alignment horizontal="right" vertical="center" indent="1"/>
    </xf>
    <xf numFmtId="49" fontId="52" fillId="0" borderId="35" xfId="48" applyNumberFormat="1" applyFont="1" applyBorder="1" applyAlignment="1">
      <alignment horizontal="right" vertical="center" indent="1"/>
    </xf>
    <xf numFmtId="0" fontId="51" fillId="0" borderId="61" xfId="48" applyFont="1" applyBorder="1" applyAlignment="1">
      <alignment horizontal="right" vertical="center" indent="1"/>
    </xf>
    <xf numFmtId="0" fontId="51" fillId="0" borderId="208" xfId="48" applyFont="1" applyBorder="1" applyAlignment="1">
      <alignment horizontal="right" vertical="center" indent="1"/>
    </xf>
    <xf numFmtId="0" fontId="51" fillId="0" borderId="107" xfId="48" applyFont="1" applyBorder="1" applyAlignment="1">
      <alignment horizontal="right" vertical="center" indent="1"/>
    </xf>
    <xf numFmtId="0" fontId="51" fillId="0" borderId="35" xfId="48" applyFont="1" applyBorder="1" applyAlignment="1">
      <alignment horizontal="right" vertical="center" indent="1"/>
    </xf>
    <xf numFmtId="0" fontId="51" fillId="0" borderId="209" xfId="48" applyFont="1" applyBorder="1" applyAlignment="1">
      <alignment horizontal="right" vertical="center" indent="1"/>
    </xf>
    <xf numFmtId="0" fontId="51" fillId="0" borderId="69" xfId="48" applyFont="1" applyBorder="1" applyAlignment="1">
      <alignment horizontal="right" vertical="center" indent="1"/>
    </xf>
    <xf numFmtId="0" fontId="31" fillId="17" borderId="210" xfId="47" applyFont="1" applyFill="1" applyBorder="1" applyAlignment="1">
      <alignment horizontal="left" vertical="center"/>
    </xf>
    <xf numFmtId="0" fontId="89" fillId="24" borderId="211" xfId="47" applyFont="1" applyFill="1" applyBorder="1" applyAlignment="1">
      <alignment horizontal="center" vertical="center"/>
    </xf>
    <xf numFmtId="0" fontId="43" fillId="18" borderId="13" xfId="47" applyFont="1" applyFill="1" applyBorder="1" applyAlignment="1">
      <alignment horizontal="left" vertical="center" indent="1"/>
    </xf>
    <xf numFmtId="0" fontId="31" fillId="24" borderId="27" xfId="47" applyFont="1" applyFill="1" applyBorder="1" applyAlignment="1">
      <alignment horizontal="left" vertical="center"/>
    </xf>
    <xf numFmtId="0" fontId="72" fillId="18" borderId="27" xfId="47" applyFont="1" applyFill="1" applyBorder="1" applyAlignment="1">
      <alignment vertical="center"/>
    </xf>
    <xf numFmtId="0" fontId="72" fillId="18" borderId="13" xfId="47" applyFont="1" applyFill="1" applyBorder="1" applyAlignment="1">
      <alignment vertical="center"/>
    </xf>
    <xf numFmtId="0" fontId="33" fillId="17" borderId="202" xfId="47" applyFont="1" applyFill="1" applyBorder="1" applyAlignment="1">
      <alignment horizontal="center" vertical="center"/>
    </xf>
    <xf numFmtId="0" fontId="33" fillId="17" borderId="109" xfId="47" applyFont="1" applyFill="1" applyBorder="1" applyAlignment="1">
      <alignment horizontal="center" vertical="center"/>
    </xf>
    <xf numFmtId="0" fontId="31" fillId="17" borderId="110" xfId="47" applyFont="1" applyFill="1" applyBorder="1" applyAlignment="1">
      <alignment horizontal="left" vertical="center"/>
    </xf>
    <xf numFmtId="0" fontId="24" fillId="0" borderId="112" xfId="47" applyFont="1" applyBorder="1" applyAlignment="1">
      <alignment horizontal="left" vertical="center"/>
    </xf>
    <xf numFmtId="0" fontId="72" fillId="14" borderId="34" xfId="47" applyFont="1" applyFill="1" applyBorder="1" applyAlignment="1">
      <alignment vertical="center"/>
    </xf>
    <xf numFmtId="0" fontId="72" fillId="14" borderId="85" xfId="47" applyFont="1" applyFill="1" applyBorder="1" applyAlignment="1">
      <alignment vertical="center"/>
    </xf>
    <xf numFmtId="0" fontId="52" fillId="0" borderId="17" xfId="48" applyFont="1" applyBorder="1" applyAlignment="1">
      <alignment horizontal="right" vertical="center" indent="1"/>
    </xf>
    <xf numFmtId="0" fontId="51" fillId="0" borderId="13" xfId="48" applyFont="1" applyBorder="1" applyAlignment="1">
      <alignment horizontal="right" vertical="center" indent="1"/>
    </xf>
    <xf numFmtId="49" fontId="52" fillId="0" borderId="14" xfId="48" applyNumberFormat="1" applyFont="1" applyBorder="1" applyAlignment="1">
      <alignment horizontal="right" vertical="center" indent="1"/>
    </xf>
    <xf numFmtId="0" fontId="52" fillId="0" borderId="142" xfId="48" applyFont="1" applyBorder="1" applyAlignment="1">
      <alignment horizontal="right" vertical="center" indent="1"/>
    </xf>
    <xf numFmtId="0" fontId="52" fillId="0" borderId="13" xfId="48" applyFont="1" applyBorder="1" applyAlignment="1">
      <alignment horizontal="right" vertical="center" indent="1"/>
    </xf>
    <xf numFmtId="0" fontId="52" fillId="0" borderId="143" xfId="48" applyFont="1" applyBorder="1" applyAlignment="1">
      <alignment horizontal="right" vertical="center" indent="1"/>
    </xf>
    <xf numFmtId="0" fontId="52" fillId="0" borderId="36" xfId="48" applyFont="1" applyBorder="1" applyAlignment="1">
      <alignment horizontal="right" vertical="center" indent="1"/>
    </xf>
    <xf numFmtId="0" fontId="52" fillId="0" borderId="14" xfId="48" applyFont="1" applyBorder="1" applyAlignment="1">
      <alignment horizontal="right" vertical="center" indent="1"/>
    </xf>
    <xf numFmtId="0" fontId="52" fillId="0" borderId="150" xfId="48" applyFont="1" applyBorder="1" applyAlignment="1">
      <alignment horizontal="right" vertical="center" indent="1"/>
    </xf>
    <xf numFmtId="0" fontId="52" fillId="0" borderId="24" xfId="48" applyFont="1" applyBorder="1" applyAlignment="1">
      <alignment horizontal="right" vertical="center" indent="1"/>
    </xf>
    <xf numFmtId="0" fontId="31" fillId="17" borderId="33" xfId="47" applyFont="1" applyFill="1" applyBorder="1" applyAlignment="1">
      <alignment horizontal="center" vertical="center"/>
    </xf>
    <xf numFmtId="0" fontId="89" fillId="17" borderId="13" xfId="47" applyFont="1" applyFill="1" applyBorder="1" applyAlignment="1">
      <alignment horizontal="center" vertical="center"/>
    </xf>
    <xf numFmtId="0" fontId="33" fillId="22" borderId="110" xfId="47" applyFont="1" applyFill="1" applyBorder="1" applyAlignment="1">
      <alignment horizontal="center" vertical="center"/>
    </xf>
    <xf numFmtId="0" fontId="31" fillId="24" borderId="212" xfId="47" applyFont="1" applyFill="1" applyBorder="1" applyAlignment="1">
      <alignment horizontal="left" vertical="center"/>
    </xf>
    <xf numFmtId="49" fontId="33" fillId="23" borderId="186" xfId="47" applyNumberFormat="1" applyFont="1" applyFill="1" applyBorder="1" applyAlignment="1">
      <alignment horizontal="center" vertical="center"/>
    </xf>
    <xf numFmtId="0" fontId="72" fillId="18" borderId="215" xfId="47" applyFont="1" applyFill="1" applyBorder="1" applyAlignment="1">
      <alignment vertical="center"/>
    </xf>
    <xf numFmtId="0" fontId="33" fillId="22" borderId="108" xfId="47" applyFont="1" applyFill="1" applyBorder="1" applyAlignment="1">
      <alignment horizontal="center" vertical="center"/>
    </xf>
    <xf numFmtId="0" fontId="31" fillId="17" borderId="13" xfId="47" applyFont="1" applyFill="1" applyBorder="1" applyAlignment="1">
      <alignment horizontal="left" vertical="center"/>
    </xf>
    <xf numFmtId="3" fontId="72" fillId="0" borderId="9" xfId="47" applyNumberFormat="1" applyFont="1" applyBorder="1" applyAlignment="1">
      <alignment horizontal="left" vertical="center" indent="1"/>
    </xf>
    <xf numFmtId="0" fontId="26" fillId="11" borderId="3" xfId="47" applyFont="1" applyFill="1" applyBorder="1" applyAlignment="1">
      <alignment horizontal="left" vertical="center" indent="1"/>
    </xf>
    <xf numFmtId="0" fontId="72" fillId="11" borderId="3" xfId="47" applyFont="1" applyFill="1" applyBorder="1" applyAlignment="1">
      <alignment horizontal="left" vertical="center" indent="1"/>
    </xf>
    <xf numFmtId="0" fontId="72" fillId="11" borderId="54" xfId="47" applyFont="1" applyFill="1" applyBorder="1" applyAlignment="1">
      <alignment horizontal="left" vertical="center" indent="1"/>
    </xf>
    <xf numFmtId="0" fontId="33" fillId="19" borderId="188" xfId="47" applyFont="1" applyFill="1" applyBorder="1" applyAlignment="1">
      <alignment horizontal="left" vertical="center" indent="1"/>
    </xf>
    <xf numFmtId="0" fontId="72" fillId="14" borderId="216" xfId="47" applyFont="1" applyFill="1" applyBorder="1" applyAlignment="1">
      <alignment vertical="center"/>
    </xf>
    <xf numFmtId="0" fontId="72" fillId="14" borderId="217" xfId="47" applyFont="1" applyFill="1" applyBorder="1" applyAlignment="1">
      <alignment vertical="center"/>
    </xf>
    <xf numFmtId="0" fontId="72" fillId="5" borderId="217" xfId="47" applyFont="1" applyFill="1" applyBorder="1" applyAlignment="1">
      <alignment vertical="center"/>
    </xf>
    <xf numFmtId="0" fontId="52" fillId="0" borderId="55" xfId="48" applyFont="1" applyBorder="1" applyAlignment="1">
      <alignment horizontal="right" vertical="center" indent="1"/>
    </xf>
    <xf numFmtId="0" fontId="51" fillId="0" borderId="43" xfId="48" applyFont="1" applyBorder="1" applyAlignment="1">
      <alignment horizontal="right" vertical="center" indent="1"/>
    </xf>
    <xf numFmtId="49" fontId="52" fillId="0" borderId="31" xfId="48" applyNumberFormat="1" applyFont="1" applyBorder="1" applyAlignment="1">
      <alignment horizontal="right" vertical="center" indent="1"/>
    </xf>
    <xf numFmtId="0" fontId="52" fillId="0" borderId="146" xfId="48" applyFont="1" applyBorder="1" applyAlignment="1">
      <alignment horizontal="right" vertical="center" indent="1"/>
    </xf>
    <xf numFmtId="0" fontId="52" fillId="0" borderId="43" xfId="48" applyFont="1" applyBorder="1" applyAlignment="1">
      <alignment horizontal="right" vertical="center" indent="1"/>
    </xf>
    <xf numFmtId="0" fontId="52" fillId="0" borderId="218" xfId="48" applyFont="1" applyBorder="1" applyAlignment="1">
      <alignment horizontal="right" vertical="center" indent="1"/>
    </xf>
    <xf numFmtId="0" fontId="52" fillId="0" borderId="44" xfId="48" applyFont="1" applyBorder="1" applyAlignment="1">
      <alignment horizontal="right" vertical="center" indent="1"/>
    </xf>
    <xf numFmtId="0" fontId="52" fillId="0" borderId="31" xfId="48" applyFont="1" applyBorder="1" applyAlignment="1">
      <alignment horizontal="right" vertical="center" indent="1"/>
    </xf>
    <xf numFmtId="0" fontId="52" fillId="0" borderId="162" xfId="48" applyFont="1" applyBorder="1" applyAlignment="1">
      <alignment horizontal="right" vertical="center" indent="1"/>
    </xf>
    <xf numFmtId="0" fontId="52" fillId="0" borderId="18" xfId="48" applyFont="1" applyBorder="1" applyAlignment="1">
      <alignment horizontal="right" vertical="center" indent="1"/>
    </xf>
    <xf numFmtId="0" fontId="33" fillId="22" borderId="14" xfId="47" applyFont="1" applyFill="1" applyBorder="1" applyAlignment="1">
      <alignment horizontal="center" vertical="center"/>
    </xf>
    <xf numFmtId="0" fontId="33" fillId="22" borderId="102" xfId="47" applyFont="1" applyFill="1" applyBorder="1" applyAlignment="1">
      <alignment horizontal="center" vertical="center"/>
    </xf>
    <xf numFmtId="0" fontId="33" fillId="19" borderId="207" xfId="47" applyFont="1" applyFill="1" applyBorder="1" applyAlignment="1">
      <alignment horizontal="left" vertical="center" indent="1"/>
    </xf>
    <xf numFmtId="0" fontId="72" fillId="0" borderId="73" xfId="47" applyFont="1" applyBorder="1" applyAlignment="1">
      <alignment vertical="center"/>
    </xf>
    <xf numFmtId="0" fontId="72" fillId="14" borderId="73" xfId="47" applyFont="1" applyFill="1" applyBorder="1" applyAlignment="1">
      <alignment vertical="center"/>
    </xf>
    <xf numFmtId="0" fontId="72" fillId="14" borderId="221" xfId="47" applyFont="1" applyFill="1" applyBorder="1" applyAlignment="1">
      <alignment vertical="center"/>
    </xf>
    <xf numFmtId="0" fontId="72" fillId="0" borderId="222" xfId="47" applyFont="1" applyBorder="1" applyAlignment="1">
      <alignment vertical="center"/>
    </xf>
    <xf numFmtId="0" fontId="72" fillId="14" borderId="73" xfId="47" applyFont="1" applyFill="1" applyBorder="1" applyAlignment="1">
      <alignment horizontal="left" vertical="center" indent="1"/>
    </xf>
    <xf numFmtId="0" fontId="72" fillId="14" borderId="223" xfId="47" applyFont="1" applyFill="1" applyBorder="1" applyAlignment="1">
      <alignment vertical="center"/>
    </xf>
    <xf numFmtId="0" fontId="72" fillId="5" borderId="223" xfId="47" applyFont="1" applyFill="1" applyBorder="1" applyAlignment="1">
      <alignment vertical="center"/>
    </xf>
    <xf numFmtId="0" fontId="52" fillId="0" borderId="52" xfId="48" applyFont="1" applyBorder="1" applyAlignment="1">
      <alignment horizontal="right" vertical="center" indent="1"/>
    </xf>
    <xf numFmtId="0" fontId="51" fillId="0" borderId="46" xfId="48" applyFont="1" applyBorder="1" applyAlignment="1">
      <alignment horizontal="right" vertical="center" indent="1"/>
    </xf>
    <xf numFmtId="49" fontId="52" fillId="0" borderId="47" xfId="48" applyNumberFormat="1" applyFont="1" applyBorder="1" applyAlignment="1">
      <alignment horizontal="right" vertical="center" indent="1"/>
    </xf>
    <xf numFmtId="0" fontId="52" fillId="0" borderId="151" xfId="48" applyFont="1" applyBorder="1" applyAlignment="1">
      <alignment horizontal="right" vertical="center" indent="1"/>
    </xf>
    <xf numFmtId="0" fontId="52" fillId="0" borderId="46" xfId="48" applyFont="1" applyBorder="1" applyAlignment="1">
      <alignment horizontal="right" vertical="center" indent="1"/>
    </xf>
    <xf numFmtId="0" fontId="52" fillId="0" borderId="76" xfId="48" applyFont="1" applyBorder="1" applyAlignment="1">
      <alignment horizontal="right" vertical="center" indent="1"/>
    </xf>
    <xf numFmtId="0" fontId="52" fillId="0" borderId="48" xfId="48" applyFont="1" applyBorder="1" applyAlignment="1">
      <alignment horizontal="right" vertical="center" indent="1"/>
    </xf>
    <xf numFmtId="0" fontId="52" fillId="0" borderId="47" xfId="48" applyFont="1" applyBorder="1" applyAlignment="1">
      <alignment horizontal="right" vertical="center" indent="1"/>
    </xf>
    <xf numFmtId="0" fontId="52" fillId="0" borderId="136" xfId="48" applyFont="1" applyBorder="1" applyAlignment="1">
      <alignment horizontal="right" vertical="center" indent="1"/>
    </xf>
    <xf numFmtId="0" fontId="52" fillId="0" borderId="224" xfId="48" applyFont="1" applyBorder="1" applyAlignment="1">
      <alignment horizontal="right" vertical="center" indent="1"/>
    </xf>
    <xf numFmtId="0" fontId="29" fillId="17" borderId="120" xfId="47" applyFont="1" applyFill="1" applyBorder="1" applyAlignment="1">
      <alignment horizontal="center" vertical="center"/>
    </xf>
    <xf numFmtId="0" fontId="29" fillId="17" borderId="43" xfId="47" applyFont="1" applyFill="1" applyBorder="1" applyAlignment="1">
      <alignment horizontal="center" vertical="center"/>
    </xf>
    <xf numFmtId="0" fontId="72" fillId="0" borderId="226" xfId="47" applyFont="1" applyBorder="1" applyAlignment="1">
      <alignment horizontal="left" vertical="center" indent="1"/>
    </xf>
    <xf numFmtId="49" fontId="32" fillId="18" borderId="27" xfId="47" applyNumberFormat="1" applyFont="1" applyFill="1" applyBorder="1" applyAlignment="1">
      <alignment horizontal="left" vertical="center"/>
    </xf>
    <xf numFmtId="49" fontId="92" fillId="18" borderId="27" xfId="47" applyNumberFormat="1" applyFont="1" applyFill="1" applyBorder="1" applyAlignment="1">
      <alignment vertical="center"/>
    </xf>
    <xf numFmtId="49" fontId="43" fillId="18" borderId="27" xfId="47" applyNumberFormat="1" applyFont="1" applyFill="1" applyBorder="1" applyAlignment="1">
      <alignment vertical="center"/>
    </xf>
    <xf numFmtId="49" fontId="32" fillId="18" borderId="227" xfId="47" applyNumberFormat="1" applyFont="1" applyFill="1" applyBorder="1" applyAlignment="1">
      <alignment horizontal="left" vertical="center"/>
    </xf>
    <xf numFmtId="0" fontId="89" fillId="17" borderId="109" xfId="47" applyFont="1" applyFill="1" applyBorder="1" applyAlignment="1">
      <alignment horizontal="center" vertical="center"/>
    </xf>
    <xf numFmtId="3" fontId="72" fillId="0" borderId="7" xfId="47" applyNumberFormat="1" applyFont="1" applyBorder="1" applyAlignment="1">
      <alignment horizontal="left" vertical="center" indent="1"/>
    </xf>
    <xf numFmtId="0" fontId="72" fillId="5" borderId="85" xfId="47" applyFont="1" applyFill="1" applyBorder="1" applyAlignment="1">
      <alignment vertical="center"/>
    </xf>
    <xf numFmtId="0" fontId="52" fillId="0" borderId="62" xfId="48" applyFont="1" applyBorder="1" applyAlignment="1">
      <alignment horizontal="right" vertical="center" indent="1"/>
    </xf>
    <xf numFmtId="0" fontId="51" fillId="0" borderId="49" xfId="48" applyFont="1" applyBorder="1" applyAlignment="1">
      <alignment horizontal="right" vertical="center" indent="1"/>
    </xf>
    <xf numFmtId="49" fontId="52" fillId="0" borderId="51" xfId="48" applyNumberFormat="1" applyFont="1" applyBorder="1" applyAlignment="1">
      <alignment horizontal="right" vertical="center" indent="1"/>
    </xf>
    <xf numFmtId="0" fontId="52" fillId="0" borderId="60" xfId="48" applyFont="1" applyBorder="1" applyAlignment="1">
      <alignment horizontal="right" vertical="center" indent="1"/>
    </xf>
    <xf numFmtId="0" fontId="52" fillId="0" borderId="49" xfId="48" applyFont="1" applyBorder="1" applyAlignment="1">
      <alignment horizontal="right" vertical="center" indent="1"/>
    </xf>
    <xf numFmtId="0" fontId="52" fillId="0" borderId="148" xfId="48" applyFont="1" applyBorder="1" applyAlignment="1">
      <alignment horizontal="right" vertical="center" indent="1"/>
    </xf>
    <xf numFmtId="0" fontId="52" fillId="0" borderId="50" xfId="48" applyFont="1" applyBorder="1" applyAlignment="1">
      <alignment horizontal="right" vertical="center" indent="1"/>
    </xf>
    <xf numFmtId="0" fontId="52" fillId="0" borderId="51" xfId="48" applyFont="1" applyBorder="1" applyAlignment="1">
      <alignment horizontal="right" vertical="center" indent="1"/>
    </xf>
    <xf numFmtId="0" fontId="52" fillId="0" borderId="86" xfId="48" applyFont="1" applyBorder="1" applyAlignment="1">
      <alignment horizontal="right" vertical="center" indent="1"/>
    </xf>
    <xf numFmtId="0" fontId="51" fillId="0" borderId="148" xfId="48" applyFont="1" applyBorder="1" applyAlignment="1">
      <alignment horizontal="right" vertical="center" indent="1"/>
    </xf>
    <xf numFmtId="0" fontId="51" fillId="0" borderId="60" xfId="48" applyFont="1" applyBorder="1" applyAlignment="1">
      <alignment horizontal="right" vertical="center" indent="1"/>
    </xf>
    <xf numFmtId="0" fontId="52" fillId="0" borderId="57" xfId="48" applyFont="1" applyBorder="1" applyAlignment="1">
      <alignment horizontal="right" vertical="center" indent="1"/>
    </xf>
    <xf numFmtId="0" fontId="33" fillId="20" borderId="14" xfId="47" applyFont="1" applyFill="1" applyBorder="1" applyAlignment="1">
      <alignment horizontal="center" vertical="center"/>
    </xf>
    <xf numFmtId="49" fontId="33" fillId="21" borderId="229" xfId="47" applyNumberFormat="1" applyFont="1" applyFill="1" applyBorder="1" applyAlignment="1">
      <alignment horizontal="left" vertical="center" indent="3"/>
    </xf>
    <xf numFmtId="49" fontId="33" fillId="21" borderId="227" xfId="47" applyNumberFormat="1" applyFont="1" applyFill="1" applyBorder="1" applyAlignment="1">
      <alignment horizontal="left" vertical="center" indent="1"/>
    </xf>
    <xf numFmtId="49" fontId="33" fillId="21" borderId="230" xfId="47" applyNumberFormat="1" applyFont="1" applyFill="1" applyBorder="1" applyAlignment="1">
      <alignment horizontal="left" vertical="center" indent="1"/>
    </xf>
    <xf numFmtId="0" fontId="33" fillId="20" borderId="102" xfId="47" applyFont="1" applyFill="1" applyBorder="1" applyAlignment="1">
      <alignment horizontal="center" vertical="center"/>
    </xf>
    <xf numFmtId="0" fontId="72" fillId="0" borderId="231" xfId="47" applyFont="1" applyBorder="1" applyAlignment="1">
      <alignment vertical="center"/>
    </xf>
    <xf numFmtId="0" fontId="72" fillId="5" borderId="194" xfId="47" applyFont="1" applyFill="1" applyBorder="1" applyAlignment="1">
      <alignment vertical="center"/>
    </xf>
    <xf numFmtId="0" fontId="52" fillId="0" borderId="32" xfId="48" applyFont="1" applyBorder="1" applyAlignment="1">
      <alignment horizontal="right" vertical="center" indent="1"/>
    </xf>
    <xf numFmtId="0" fontId="51" fillId="0" borderId="33" xfId="48" applyFont="1" applyBorder="1" applyAlignment="1">
      <alignment horizontal="right" vertical="center" indent="1"/>
    </xf>
    <xf numFmtId="49" fontId="52" fillId="0" borderId="53" xfId="48" applyNumberFormat="1" applyFont="1" applyBorder="1" applyAlignment="1">
      <alignment horizontal="right" vertical="center" indent="1"/>
    </xf>
    <xf numFmtId="0" fontId="52" fillId="0" borderId="140" xfId="48" applyFont="1" applyBorder="1" applyAlignment="1">
      <alignment horizontal="right" vertical="center" indent="1"/>
    </xf>
    <xf numFmtId="0" fontId="51" fillId="0" borderId="141" xfId="48" applyFont="1" applyBorder="1" applyAlignment="1">
      <alignment horizontal="right" vertical="center" indent="1"/>
    </xf>
    <xf numFmtId="0" fontId="51" fillId="0" borderId="45" xfId="48" applyFont="1" applyBorder="1" applyAlignment="1">
      <alignment horizontal="right" vertical="center" indent="1"/>
    </xf>
    <xf numFmtId="0" fontId="51" fillId="0" borderId="53" xfId="48" applyFont="1" applyBorder="1" applyAlignment="1">
      <alignment horizontal="right" vertical="center" indent="1"/>
    </xf>
    <xf numFmtId="0" fontId="52" fillId="0" borderId="141" xfId="48" applyFont="1" applyBorder="1" applyAlignment="1">
      <alignment horizontal="right" vertical="center" indent="1"/>
    </xf>
    <xf numFmtId="0" fontId="52" fillId="0" borderId="45" xfId="48" applyFont="1" applyBorder="1" applyAlignment="1">
      <alignment horizontal="right" vertical="center" indent="1"/>
    </xf>
    <xf numFmtId="0" fontId="52" fillId="0" borderId="53" xfId="48" applyFont="1" applyBorder="1" applyAlignment="1">
      <alignment horizontal="right" vertical="center" indent="1"/>
    </xf>
    <xf numFmtId="0" fontId="52" fillId="0" borderId="40" xfId="48" applyFont="1" applyBorder="1" applyAlignment="1">
      <alignment horizontal="right" vertical="center" indent="1"/>
    </xf>
    <xf numFmtId="0" fontId="72" fillId="18" borderId="219" xfId="47" applyFont="1" applyFill="1" applyBorder="1" applyAlignment="1">
      <alignment vertical="center"/>
    </xf>
    <xf numFmtId="49" fontId="33" fillId="25" borderId="186" xfId="47" applyNumberFormat="1" applyFont="1" applyFill="1" applyBorder="1" applyAlignment="1">
      <alignment horizontal="center" vertical="center"/>
    </xf>
    <xf numFmtId="0" fontId="72" fillId="18" borderId="232" xfId="47" applyFont="1" applyFill="1" applyBorder="1" applyAlignment="1">
      <alignment vertical="center"/>
    </xf>
    <xf numFmtId="0" fontId="33" fillId="20" borderId="120" xfId="47" applyFont="1" applyFill="1" applyBorder="1" applyAlignment="1">
      <alignment horizontal="center" vertical="center"/>
    </xf>
    <xf numFmtId="0" fontId="72" fillId="3" borderId="234" xfId="47" applyFont="1" applyFill="1" applyBorder="1" applyAlignment="1">
      <alignment horizontal="left" vertical="center" indent="1"/>
    </xf>
    <xf numFmtId="0" fontId="72" fillId="0" borderId="235" xfId="47" applyFont="1" applyBorder="1" applyAlignment="1">
      <alignment horizontal="left" vertical="center" indent="1"/>
    </xf>
    <xf numFmtId="0" fontId="24" fillId="0" borderId="236" xfId="47" applyFont="1" applyBorder="1" applyAlignment="1">
      <alignment horizontal="left" vertical="center" indent="1"/>
    </xf>
    <xf numFmtId="0" fontId="24" fillId="0" borderId="237" xfId="47" applyFont="1" applyBorder="1" applyAlignment="1">
      <alignment horizontal="left" vertical="center" indent="1"/>
    </xf>
    <xf numFmtId="0" fontId="72" fillId="0" borderId="238" xfId="47" applyFont="1" applyBorder="1" applyAlignment="1">
      <alignment vertical="center"/>
    </xf>
    <xf numFmtId="0" fontId="72" fillId="5" borderId="181" xfId="47" applyFont="1" applyFill="1" applyBorder="1" applyAlignment="1">
      <alignment vertical="center"/>
    </xf>
    <xf numFmtId="0" fontId="51" fillId="0" borderId="142" xfId="48" applyFont="1" applyBorder="1" applyAlignment="1">
      <alignment horizontal="right" vertical="center" indent="1"/>
    </xf>
    <xf numFmtId="0" fontId="51" fillId="0" borderId="143" xfId="48" applyFont="1" applyBorder="1" applyAlignment="1">
      <alignment horizontal="right" vertical="center" indent="1"/>
    </xf>
    <xf numFmtId="0" fontId="51" fillId="0" borderId="36" xfId="48" applyFont="1" applyBorder="1" applyAlignment="1">
      <alignment horizontal="right" vertical="center" indent="1"/>
    </xf>
    <xf numFmtId="0" fontId="51" fillId="0" borderId="14" xfId="48" applyFont="1" applyBorder="1" applyAlignment="1">
      <alignment horizontal="right" vertical="center" indent="1"/>
    </xf>
    <xf numFmtId="0" fontId="51" fillId="0" borderId="150" xfId="48" applyFont="1" applyBorder="1" applyAlignment="1">
      <alignment horizontal="right" vertical="center" indent="1"/>
    </xf>
    <xf numFmtId="0" fontId="32" fillId="3" borderId="121" xfId="47" applyFont="1" applyFill="1" applyBorder="1" applyAlignment="1">
      <alignment vertical="center"/>
    </xf>
    <xf numFmtId="0" fontId="32" fillId="3" borderId="123" xfId="47" applyFont="1" applyFill="1" applyBorder="1" applyAlignment="1">
      <alignment vertical="center"/>
    </xf>
    <xf numFmtId="0" fontId="43" fillId="18" borderId="27" xfId="47" applyFont="1" applyFill="1" applyBorder="1" applyAlignment="1">
      <alignment vertical="center"/>
    </xf>
    <xf numFmtId="0" fontId="72" fillId="3" borderId="239" xfId="47" applyFont="1" applyFill="1" applyBorder="1" applyAlignment="1">
      <alignment vertical="center"/>
    </xf>
    <xf numFmtId="0" fontId="72" fillId="3" borderId="121" xfId="47" applyFont="1" applyFill="1" applyBorder="1" applyAlignment="1">
      <alignment vertical="center"/>
    </xf>
    <xf numFmtId="0" fontId="72" fillId="0" borderId="240" xfId="47" applyFont="1" applyBorder="1" applyAlignment="1">
      <alignment horizontal="left" vertical="center" indent="1"/>
    </xf>
    <xf numFmtId="0" fontId="72" fillId="0" borderId="23" xfId="47" applyFont="1" applyBorder="1" applyAlignment="1">
      <alignment vertical="center"/>
    </xf>
    <xf numFmtId="0" fontId="72" fillId="0" borderId="23" xfId="47" applyFont="1" applyBorder="1" applyAlignment="1">
      <alignment horizontal="left" vertical="center" indent="1"/>
    </xf>
    <xf numFmtId="0" fontId="72" fillId="0" borderId="241" xfId="47" applyFont="1" applyBorder="1" applyAlignment="1">
      <alignment vertical="center"/>
    </xf>
    <xf numFmtId="0" fontId="72" fillId="0" borderId="95" xfId="47" applyFont="1" applyBorder="1" applyAlignment="1">
      <alignment vertical="center"/>
    </xf>
    <xf numFmtId="0" fontId="51" fillId="0" borderId="218" xfId="48" applyFont="1" applyBorder="1" applyAlignment="1">
      <alignment horizontal="right" vertical="center" indent="1"/>
    </xf>
    <xf numFmtId="0" fontId="51" fillId="0" borderId="44" xfId="48" applyFont="1" applyBorder="1" applyAlignment="1">
      <alignment horizontal="right" vertical="center" indent="1"/>
    </xf>
    <xf numFmtId="0" fontId="51" fillId="0" borderId="31" xfId="48" applyFont="1" applyBorder="1" applyAlignment="1">
      <alignment horizontal="right" vertical="center" indent="1"/>
    </xf>
    <xf numFmtId="0" fontId="51" fillId="0" borderId="146" xfId="48" applyFont="1" applyBorder="1" applyAlignment="1">
      <alignment horizontal="right" vertical="center" indent="1"/>
    </xf>
    <xf numFmtId="0" fontId="32" fillId="3" borderId="33" xfId="47" applyFont="1" applyFill="1" applyBorder="1" applyAlignment="1">
      <alignment vertical="center"/>
    </xf>
    <xf numFmtId="0" fontId="32" fillId="3" borderId="53" xfId="47" applyFont="1" applyFill="1" applyBorder="1" applyAlignment="1">
      <alignment vertical="center"/>
    </xf>
    <xf numFmtId="0" fontId="72" fillId="18" borderId="239" xfId="47" applyFont="1" applyFill="1" applyBorder="1" applyAlignment="1">
      <alignment vertical="center"/>
    </xf>
    <xf numFmtId="0" fontId="72" fillId="18" borderId="51" xfId="47" applyFont="1" applyFill="1" applyBorder="1" applyAlignment="1">
      <alignment vertical="center"/>
    </xf>
    <xf numFmtId="0" fontId="33" fillId="20" borderId="108" xfId="47" applyFont="1" applyFill="1" applyBorder="1" applyAlignment="1">
      <alignment horizontal="center" vertical="center"/>
    </xf>
    <xf numFmtId="0" fontId="33" fillId="20" borderId="109" xfId="47" applyFont="1" applyFill="1" applyBorder="1" applyAlignment="1">
      <alignment horizontal="center" vertical="center"/>
    </xf>
    <xf numFmtId="0" fontId="72" fillId="3" borderId="110" xfId="47" applyFont="1" applyFill="1" applyBorder="1" applyAlignment="1">
      <alignment horizontal="center" vertical="center"/>
    </xf>
    <xf numFmtId="0" fontId="72" fillId="3" borderId="242" xfId="47" applyFont="1" applyFill="1" applyBorder="1" applyAlignment="1">
      <alignment horizontal="center" vertical="center"/>
    </xf>
    <xf numFmtId="0" fontId="33" fillId="20" borderId="110" xfId="47" applyFont="1" applyFill="1" applyBorder="1" applyAlignment="1">
      <alignment horizontal="center" vertical="center"/>
    </xf>
    <xf numFmtId="0" fontId="72" fillId="18" borderId="50" xfId="47" applyFont="1" applyFill="1" applyBorder="1" applyAlignment="1">
      <alignment vertical="center"/>
    </xf>
    <xf numFmtId="0" fontId="72" fillId="18" borderId="31" xfId="47" applyFont="1" applyFill="1" applyBorder="1" applyAlignment="1">
      <alignment vertical="center"/>
    </xf>
    <xf numFmtId="0" fontId="72" fillId="3" borderId="140" xfId="47" applyFont="1" applyFill="1" applyBorder="1" applyAlignment="1">
      <alignment vertical="center"/>
    </xf>
    <xf numFmtId="0" fontId="72" fillId="3" borderId="33" xfId="47" applyFont="1" applyFill="1" applyBorder="1" applyAlignment="1">
      <alignment vertical="center"/>
    </xf>
    <xf numFmtId="0" fontId="72" fillId="0" borderId="243" xfId="47" applyFont="1" applyBorder="1" applyAlignment="1">
      <alignment vertical="center"/>
    </xf>
    <xf numFmtId="0" fontId="72" fillId="0" borderId="173" xfId="47" applyFont="1" applyBorder="1" applyAlignment="1">
      <alignment vertical="center"/>
    </xf>
    <xf numFmtId="0" fontId="51" fillId="0" borderId="151" xfId="48" applyFont="1" applyBorder="1" applyAlignment="1">
      <alignment horizontal="right" vertical="center" indent="1"/>
    </xf>
    <xf numFmtId="0" fontId="51" fillId="0" borderId="48" xfId="48" applyFont="1" applyBorder="1" applyAlignment="1">
      <alignment horizontal="right" vertical="center" indent="1"/>
    </xf>
    <xf numFmtId="0" fontId="51" fillId="0" borderId="47" xfId="48" applyFont="1" applyBorder="1" applyAlignment="1">
      <alignment horizontal="right" vertical="center" indent="1"/>
    </xf>
    <xf numFmtId="0" fontId="51" fillId="0" borderId="136" xfId="48" applyFont="1" applyBorder="1" applyAlignment="1">
      <alignment horizontal="right" vertical="center" indent="1"/>
    </xf>
    <xf numFmtId="0" fontId="51" fillId="0" borderId="224" xfId="48" applyFont="1" applyBorder="1" applyAlignment="1">
      <alignment horizontal="right" vertical="center" indent="1"/>
    </xf>
    <xf numFmtId="0" fontId="29" fillId="17" borderId="45" xfId="47" applyFont="1" applyFill="1" applyBorder="1" applyAlignment="1">
      <alignment horizontal="center" vertical="center"/>
    </xf>
    <xf numFmtId="0" fontId="31" fillId="17" borderId="101" xfId="47" applyFont="1" applyFill="1" applyBorder="1" applyAlignment="1">
      <alignment horizontal="left" vertical="center"/>
    </xf>
    <xf numFmtId="0" fontId="31" fillId="3" borderId="45" xfId="47" applyFont="1" applyFill="1" applyBorder="1" applyAlignment="1">
      <alignment vertical="center"/>
    </xf>
    <xf numFmtId="0" fontId="31" fillId="3" borderId="33" xfId="47" applyFont="1" applyFill="1" applyBorder="1" applyAlignment="1">
      <alignment vertical="center"/>
    </xf>
    <xf numFmtId="0" fontId="33" fillId="3" borderId="53" xfId="47" applyFont="1" applyFill="1" applyBorder="1" applyAlignment="1">
      <alignment horizontal="center" vertical="center"/>
    </xf>
    <xf numFmtId="0" fontId="33" fillId="22" borderId="103" xfId="47" applyFont="1" applyFill="1" applyBorder="1" applyAlignment="1">
      <alignment horizontal="center" vertical="center"/>
    </xf>
    <xf numFmtId="0" fontId="29" fillId="17" borderId="36" xfId="47" applyFont="1" applyFill="1" applyBorder="1" applyAlignment="1">
      <alignment horizontal="center" vertical="center"/>
    </xf>
    <xf numFmtId="0" fontId="32" fillId="17" borderId="103" xfId="47" applyFont="1" applyFill="1" applyBorder="1" applyAlignment="1">
      <alignment horizontal="left" vertical="center"/>
    </xf>
    <xf numFmtId="0" fontId="33" fillId="3" borderId="14" xfId="47" applyFont="1" applyFill="1" applyBorder="1" applyAlignment="1">
      <alignment horizontal="center" vertical="center"/>
    </xf>
    <xf numFmtId="0" fontId="72" fillId="2" borderId="186" xfId="47" applyFont="1" applyFill="1" applyBorder="1" applyAlignment="1">
      <alignment vertical="center"/>
    </xf>
    <xf numFmtId="0" fontId="72" fillId="0" borderId="189" xfId="47" applyFont="1" applyBorder="1" applyAlignment="1">
      <alignment horizontal="left" vertical="center" indent="1"/>
    </xf>
    <xf numFmtId="0" fontId="72" fillId="5" borderId="173" xfId="47" applyFont="1" applyFill="1" applyBorder="1" applyAlignment="1">
      <alignment vertical="center"/>
    </xf>
    <xf numFmtId="0" fontId="51" fillId="0" borderId="50" xfId="48" applyFont="1" applyBorder="1" applyAlignment="1">
      <alignment horizontal="right" vertical="center" indent="1"/>
    </xf>
    <xf numFmtId="0" fontId="51" fillId="0" borderId="51" xfId="48" applyFont="1" applyBorder="1" applyAlignment="1">
      <alignment horizontal="right" vertical="center" indent="1"/>
    </xf>
    <xf numFmtId="0" fontId="31" fillId="17" borderId="120" xfId="47" applyFont="1" applyFill="1" applyBorder="1" applyAlignment="1">
      <alignment horizontal="left" vertical="center"/>
    </xf>
    <xf numFmtId="0" fontId="89" fillId="17" borderId="121" xfId="47" applyFont="1" applyFill="1" applyBorder="1" applyAlignment="1">
      <alignment horizontal="left" vertical="center"/>
    </xf>
    <xf numFmtId="0" fontId="31" fillId="17" borderId="121" xfId="47" applyFont="1" applyFill="1" applyBorder="1" applyAlignment="1">
      <alignment horizontal="left" vertical="center"/>
    </xf>
    <xf numFmtId="0" fontId="31" fillId="17" borderId="200" xfId="47" applyFont="1" applyFill="1" applyBorder="1" applyAlignment="1">
      <alignment horizontal="left" vertical="center"/>
    </xf>
    <xf numFmtId="0" fontId="33" fillId="17" borderId="120" xfId="47" applyFont="1" applyFill="1" applyBorder="1" applyAlignment="1">
      <alignment horizontal="center" vertical="center"/>
    </xf>
    <xf numFmtId="0" fontId="72" fillId="11" borderId="203" xfId="47" applyFont="1" applyFill="1" applyBorder="1" applyAlignment="1">
      <alignment vertical="center"/>
    </xf>
    <xf numFmtId="0" fontId="72" fillId="0" borderId="173" xfId="47" applyFont="1" applyBorder="1" applyAlignment="1">
      <alignment horizontal="left" vertical="center" indent="1"/>
    </xf>
    <xf numFmtId="0" fontId="72" fillId="0" borderId="118" xfId="47" applyFont="1" applyBorder="1" applyAlignment="1">
      <alignment horizontal="left" vertical="center" indent="1"/>
    </xf>
    <xf numFmtId="0" fontId="18" fillId="0" borderId="114" xfId="47" applyFont="1" applyBorder="1" applyAlignment="1">
      <alignment horizontal="left" vertical="center" indent="1"/>
    </xf>
    <xf numFmtId="0" fontId="26" fillId="0" borderId="0" xfId="47" applyFont="1" applyBorder="1" applyAlignment="1">
      <alignment horizontal="center" vertical="center"/>
    </xf>
    <xf numFmtId="0" fontId="26" fillId="0" borderId="244" xfId="47" applyFont="1" applyBorder="1" applyAlignment="1">
      <alignment vertical="center"/>
    </xf>
    <xf numFmtId="0" fontId="26" fillId="0" borderId="170" xfId="47" applyFont="1" applyBorder="1" applyAlignment="1">
      <alignment vertical="center"/>
    </xf>
    <xf numFmtId="0" fontId="72" fillId="10" borderId="0" xfId="47" applyFont="1" applyFill="1" applyBorder="1" applyAlignment="1">
      <alignment horizontal="left" vertical="center" indent="1"/>
    </xf>
    <xf numFmtId="0" fontId="72" fillId="0" borderId="9" xfId="47" applyFont="1" applyBorder="1" applyAlignment="1">
      <alignment horizontal="left" vertical="center" indent="1"/>
    </xf>
    <xf numFmtId="0" fontId="72" fillId="3" borderId="175" xfId="47" applyFont="1" applyFill="1" applyBorder="1" applyAlignment="1">
      <alignment horizontal="left" vertical="center" indent="1"/>
    </xf>
    <xf numFmtId="0" fontId="24" fillId="0" borderId="95" xfId="47" applyFont="1" applyBorder="1" applyAlignment="1">
      <alignment horizontal="left" vertical="center" indent="1"/>
    </xf>
    <xf numFmtId="0" fontId="24" fillId="0" borderId="113" xfId="47" applyFont="1" applyBorder="1" applyAlignment="1">
      <alignment horizontal="left" vertical="center" indent="1"/>
    </xf>
    <xf numFmtId="0" fontId="72" fillId="0" borderId="119" xfId="47" applyFont="1" applyBorder="1" applyAlignment="1">
      <alignment horizontal="left" vertical="center" indent="1"/>
    </xf>
    <xf numFmtId="0" fontId="72" fillId="0" borderId="244" xfId="47" applyFont="1" applyBorder="1" applyAlignment="1">
      <alignment vertical="center"/>
    </xf>
    <xf numFmtId="0" fontId="51" fillId="0" borderId="24" xfId="48" applyFont="1" applyBorder="1" applyAlignment="1">
      <alignment horizontal="right" vertical="center" indent="1"/>
    </xf>
    <xf numFmtId="0" fontId="72" fillId="26" borderId="162" xfId="47" applyFont="1" applyFill="1" applyBorder="1" applyAlignment="1">
      <alignment horizontal="left" vertical="center" indent="1"/>
    </xf>
    <xf numFmtId="0" fontId="72" fillId="5" borderId="22" xfId="47" applyFont="1" applyFill="1" applyBorder="1" applyAlignment="1">
      <alignment vertical="center"/>
    </xf>
    <xf numFmtId="0" fontId="18" fillId="0" borderId="22" xfId="47" applyFont="1" applyBorder="1" applyAlignment="1">
      <alignment horizontal="left" vertical="center"/>
    </xf>
    <xf numFmtId="0" fontId="72" fillId="5" borderId="22" xfId="47" applyFont="1" applyFill="1" applyBorder="1" applyAlignment="1">
      <alignment horizontal="left" vertical="center" indent="1"/>
    </xf>
    <xf numFmtId="0" fontId="72" fillId="26" borderId="162" xfId="47" applyFont="1" applyFill="1" applyBorder="1" applyAlignment="1">
      <alignment vertical="center"/>
    </xf>
    <xf numFmtId="0" fontId="26" fillId="10" borderId="0" xfId="47" applyFont="1" applyFill="1" applyAlignment="1">
      <alignment horizontal="left" vertical="center" indent="1"/>
    </xf>
    <xf numFmtId="0" fontId="72" fillId="20" borderId="186" xfId="47" applyFont="1" applyFill="1" applyBorder="1" applyAlignment="1">
      <alignment horizontal="left" vertical="center" indent="1"/>
    </xf>
    <xf numFmtId="0" fontId="72" fillId="0" borderId="179" xfId="47" applyFont="1" applyBorder="1" applyAlignment="1">
      <alignment horizontal="left" vertical="center" indent="1"/>
    </xf>
    <xf numFmtId="0" fontId="24" fillId="0" borderId="173" xfId="47" applyFont="1" applyBorder="1" applyAlignment="1">
      <alignment horizontal="left" vertical="center" indent="1"/>
    </xf>
    <xf numFmtId="0" fontId="24" fillId="0" borderId="118" xfId="47" applyFont="1" applyBorder="1" applyAlignment="1">
      <alignment horizontal="left" vertical="center" indent="1"/>
    </xf>
    <xf numFmtId="0" fontId="72" fillId="5" borderId="0" xfId="47" applyFont="1" applyFill="1" applyBorder="1" applyAlignment="1">
      <alignment horizontal="right" vertical="center" indent="1"/>
    </xf>
    <xf numFmtId="0" fontId="72" fillId="0" borderId="119" xfId="47" applyFont="1" applyBorder="1" applyAlignment="1">
      <alignment vertical="center"/>
    </xf>
    <xf numFmtId="0" fontId="72" fillId="15" borderId="3" xfId="47" applyFont="1" applyFill="1" applyBorder="1" applyAlignment="1">
      <alignment vertical="center"/>
    </xf>
    <xf numFmtId="0" fontId="72" fillId="15" borderId="0" xfId="47" applyFont="1" applyFill="1" applyBorder="1" applyAlignment="1">
      <alignment horizontal="left" vertical="center" indent="1"/>
    </xf>
    <xf numFmtId="0" fontId="24" fillId="15" borderId="0" xfId="47" applyFont="1" applyFill="1" applyBorder="1" applyAlignment="1">
      <alignment horizontal="left" vertical="center" indent="1"/>
    </xf>
    <xf numFmtId="0" fontId="72" fillId="15" borderId="3" xfId="47" applyFont="1" applyFill="1" applyBorder="1" applyAlignment="1">
      <alignment horizontal="left" vertical="center" indent="1"/>
    </xf>
    <xf numFmtId="0" fontId="72" fillId="27" borderId="127" xfId="47" applyFont="1" applyFill="1" applyBorder="1" applyAlignment="1">
      <alignment horizontal="left" vertical="center" indent="1"/>
    </xf>
    <xf numFmtId="0" fontId="72" fillId="27" borderId="30" xfId="47" applyFont="1" applyFill="1" applyBorder="1" applyAlignment="1">
      <alignment horizontal="left" vertical="center" indent="1"/>
    </xf>
    <xf numFmtId="0" fontId="18" fillId="0" borderId="0" xfId="47" applyFont="1" applyAlignment="1">
      <alignment horizontal="left" vertical="center" indent="1"/>
    </xf>
    <xf numFmtId="0" fontId="72" fillId="15" borderId="130" xfId="47" applyFont="1" applyFill="1" applyBorder="1" applyAlignment="1">
      <alignment horizontal="left" vertical="center" indent="1"/>
    </xf>
    <xf numFmtId="0" fontId="72" fillId="28" borderId="112" xfId="47" applyFont="1" applyFill="1" applyBorder="1" applyAlignment="1">
      <alignment horizontal="left" vertical="center" indent="1"/>
    </xf>
    <xf numFmtId="0" fontId="72" fillId="28" borderId="105" xfId="47" applyFont="1" applyFill="1" applyBorder="1" applyAlignment="1">
      <alignment horizontal="left" vertical="center" indent="1"/>
    </xf>
    <xf numFmtId="0" fontId="72" fillId="27" borderId="104" xfId="47" applyFont="1" applyFill="1" applyBorder="1" applyAlignment="1">
      <alignment horizontal="left" vertical="center" indent="1"/>
    </xf>
    <xf numFmtId="0" fontId="72" fillId="27" borderId="95" xfId="47" applyFont="1" applyFill="1" applyBorder="1" applyAlignment="1">
      <alignment horizontal="left" vertical="center" indent="1"/>
    </xf>
    <xf numFmtId="0" fontId="72" fillId="29" borderId="104" xfId="47" applyFont="1" applyFill="1" applyBorder="1" applyAlignment="1">
      <alignment horizontal="left" vertical="center" indent="1"/>
    </xf>
    <xf numFmtId="0" fontId="72" fillId="29" borderId="113" xfId="47" applyFont="1" applyFill="1" applyBorder="1" applyAlignment="1">
      <alignment horizontal="left" vertical="center" indent="1"/>
    </xf>
    <xf numFmtId="0" fontId="72" fillId="15" borderId="131" xfId="47" applyFont="1" applyFill="1" applyBorder="1" applyAlignment="1">
      <alignment horizontal="left" vertical="center" indent="1"/>
    </xf>
    <xf numFmtId="0" fontId="72" fillId="27" borderId="130" xfId="47" applyFont="1" applyFill="1" applyBorder="1" applyAlignment="1">
      <alignment horizontal="left" vertical="center" indent="1"/>
    </xf>
    <xf numFmtId="0" fontId="72" fillId="27" borderId="131" xfId="47" applyFont="1" applyFill="1" applyBorder="1" applyAlignment="1">
      <alignment horizontal="left" vertical="center" indent="1"/>
    </xf>
    <xf numFmtId="0" fontId="18" fillId="0" borderId="247" xfId="47" applyFont="1" applyBorder="1" applyAlignment="1">
      <alignment horizontal="left" vertical="center" indent="1"/>
    </xf>
    <xf numFmtId="0" fontId="72" fillId="0" borderId="248" xfId="47" applyFont="1" applyBorder="1" applyAlignment="1">
      <alignment vertical="center"/>
    </xf>
    <xf numFmtId="0" fontId="72" fillId="0" borderId="12" xfId="47" applyFont="1" applyBorder="1" applyAlignment="1">
      <alignment vertical="center"/>
    </xf>
    <xf numFmtId="0" fontId="72" fillId="28" borderId="114" xfId="47" applyFont="1" applyFill="1" applyBorder="1" applyAlignment="1">
      <alignment horizontal="left" vertical="center" indent="1"/>
    </xf>
    <xf numFmtId="0" fontId="72" fillId="28" borderId="131" xfId="47" applyFont="1" applyFill="1" applyBorder="1" applyAlignment="1">
      <alignment horizontal="left" vertical="center" indent="1"/>
    </xf>
    <xf numFmtId="0" fontId="72" fillId="27" borderId="0" xfId="47" applyFont="1" applyFill="1" applyBorder="1" applyAlignment="1">
      <alignment horizontal="left" vertical="center" indent="1"/>
    </xf>
    <xf numFmtId="0" fontId="72" fillId="29" borderId="130" xfId="47" applyFont="1" applyFill="1" applyBorder="1" applyAlignment="1">
      <alignment horizontal="left" vertical="center" indent="1"/>
    </xf>
    <xf numFmtId="0" fontId="72" fillId="29" borderId="115" xfId="47" applyFont="1" applyFill="1" applyBorder="1" applyAlignment="1">
      <alignment horizontal="left" vertical="center" indent="1"/>
    </xf>
    <xf numFmtId="0" fontId="24" fillId="0" borderId="251" xfId="47" applyFont="1" applyBorder="1" applyAlignment="1">
      <alignment horizontal="left" vertical="center" indent="1"/>
    </xf>
    <xf numFmtId="0" fontId="72" fillId="0" borderId="27" xfId="47" applyFont="1" applyBorder="1" applyAlignment="1">
      <alignment vertical="center"/>
    </xf>
    <xf numFmtId="0" fontId="26" fillId="11" borderId="2" xfId="47" applyFont="1" applyFill="1" applyBorder="1" applyAlignment="1">
      <alignment horizontal="left" vertical="center" indent="1"/>
    </xf>
    <xf numFmtId="0" fontId="72" fillId="28" borderId="0" xfId="47" applyFont="1" applyFill="1" applyBorder="1" applyAlignment="1">
      <alignment horizontal="left" vertical="center" indent="1"/>
    </xf>
    <xf numFmtId="0" fontId="72" fillId="2" borderId="5" xfId="47" applyFont="1" applyFill="1" applyBorder="1" applyAlignment="1">
      <alignment horizontal="left" vertical="center" indent="1"/>
    </xf>
    <xf numFmtId="0" fontId="72" fillId="2" borderId="42" xfId="47" applyFont="1" applyFill="1" applyBorder="1" applyAlignment="1">
      <alignment horizontal="left" vertical="center" indent="1"/>
    </xf>
    <xf numFmtId="0" fontId="72" fillId="29" borderId="0" xfId="47" applyFont="1" applyFill="1" applyBorder="1" applyAlignment="1">
      <alignment horizontal="left" vertical="center" indent="1"/>
    </xf>
    <xf numFmtId="0" fontId="72" fillId="28" borderId="127" xfId="47" applyFont="1" applyFill="1" applyBorder="1" applyAlignment="1">
      <alignment vertical="center"/>
    </xf>
    <xf numFmtId="0" fontId="72" fillId="28" borderId="30" xfId="47" applyFont="1" applyFill="1" applyBorder="1" applyAlignment="1">
      <alignment vertical="center"/>
    </xf>
    <xf numFmtId="3" fontId="72" fillId="0" borderId="240" xfId="47" applyNumberFormat="1" applyFont="1" applyBorder="1" applyAlignment="1">
      <alignment horizontal="left" vertical="center" indent="1"/>
    </xf>
    <xf numFmtId="0" fontId="51" fillId="0" borderId="140" xfId="48" applyFont="1" applyBorder="1" applyAlignment="1">
      <alignment horizontal="right" vertical="center" indent="1"/>
    </xf>
    <xf numFmtId="0" fontId="51" fillId="0" borderId="40" xfId="48" applyFont="1" applyBorder="1" applyAlignment="1">
      <alignment horizontal="right" vertical="center" indent="1"/>
    </xf>
    <xf numFmtId="0" fontId="72" fillId="28" borderId="252" xfId="47" applyFont="1" applyFill="1" applyBorder="1" applyAlignment="1">
      <alignment horizontal="left" vertical="center" indent="1"/>
    </xf>
    <xf numFmtId="0" fontId="72" fillId="28" borderId="22" xfId="47" applyFont="1" applyFill="1" applyBorder="1" applyAlignment="1">
      <alignment horizontal="left" vertical="center" indent="1"/>
    </xf>
    <xf numFmtId="0" fontId="72" fillId="2" borderId="9" xfId="47" applyFont="1" applyFill="1" applyBorder="1" applyAlignment="1">
      <alignment horizontal="left" vertical="center" indent="1"/>
    </xf>
    <xf numFmtId="0" fontId="72" fillId="2" borderId="132" xfId="47" applyFont="1" applyFill="1" applyBorder="1" applyAlignment="1">
      <alignment horizontal="left" vertical="center" indent="1"/>
    </xf>
    <xf numFmtId="0" fontId="72" fillId="28" borderId="130" xfId="47" applyFont="1" applyFill="1" applyBorder="1" applyAlignment="1">
      <alignment vertical="center"/>
    </xf>
    <xf numFmtId="0" fontId="72" fillId="28" borderId="131" xfId="47" applyFont="1" applyFill="1" applyBorder="1" applyAlignment="1">
      <alignment vertical="center"/>
    </xf>
    <xf numFmtId="0" fontId="72" fillId="31" borderId="253" xfId="47" applyFont="1" applyFill="1" applyBorder="1" applyAlignment="1">
      <alignment horizontal="left" vertical="center" indent="1"/>
    </xf>
    <xf numFmtId="0" fontId="72" fillId="31" borderId="23" xfId="47" applyFont="1" applyFill="1" applyBorder="1" applyAlignment="1">
      <alignment horizontal="left" vertical="center" indent="1"/>
    </xf>
    <xf numFmtId="0" fontId="72" fillId="31" borderId="0" xfId="47" applyFont="1" applyFill="1" applyBorder="1" applyAlignment="1">
      <alignment horizontal="left" vertical="center" indent="1"/>
    </xf>
    <xf numFmtId="0" fontId="72" fillId="31" borderId="127" xfId="47" applyFont="1" applyFill="1" applyBorder="1" applyAlignment="1">
      <alignment horizontal="left" vertical="center" indent="1"/>
    </xf>
    <xf numFmtId="0" fontId="72" fillId="31" borderId="30" xfId="47" applyFont="1" applyFill="1" applyBorder="1" applyAlignment="1">
      <alignment horizontal="left" vertical="center" indent="1"/>
    </xf>
    <xf numFmtId="0" fontId="72" fillId="31" borderId="117" xfId="47" applyFont="1" applyFill="1" applyBorder="1" applyAlignment="1">
      <alignment horizontal="left" vertical="center" indent="1"/>
    </xf>
    <xf numFmtId="0" fontId="72" fillId="31" borderId="173" xfId="47" applyFont="1" applyFill="1" applyBorder="1" applyAlignment="1">
      <alignment horizontal="left" vertical="center" indent="1"/>
    </xf>
    <xf numFmtId="0" fontId="72" fillId="29" borderId="174" xfId="47" applyFont="1" applyFill="1" applyBorder="1" applyAlignment="1">
      <alignment horizontal="left" vertical="center" indent="1"/>
    </xf>
    <xf numFmtId="0" fontId="72" fillId="29" borderId="118" xfId="47" applyFont="1" applyFill="1" applyBorder="1" applyAlignment="1">
      <alignment horizontal="left" vertical="center" indent="1"/>
    </xf>
    <xf numFmtId="0" fontId="72" fillId="31" borderId="130" xfId="47" applyFont="1" applyFill="1" applyBorder="1" applyAlignment="1">
      <alignment horizontal="left" vertical="center" indent="1"/>
    </xf>
    <xf numFmtId="0" fontId="72" fillId="31" borderId="131" xfId="47" applyFont="1" applyFill="1" applyBorder="1" applyAlignment="1">
      <alignment horizontal="left" vertical="center" indent="1"/>
    </xf>
    <xf numFmtId="0" fontId="72" fillId="15" borderId="22" xfId="47" applyFont="1" applyFill="1" applyBorder="1" applyAlignment="1">
      <alignment horizontal="left" vertical="center" indent="1"/>
    </xf>
    <xf numFmtId="0" fontId="24" fillId="15" borderId="22" xfId="47" applyFont="1" applyFill="1" applyBorder="1" applyAlignment="1">
      <alignment horizontal="left" vertical="center" indent="1"/>
    </xf>
    <xf numFmtId="0" fontId="72" fillId="0" borderId="42" xfId="47" applyFont="1" applyBorder="1" applyAlignment="1">
      <alignment vertical="center"/>
    </xf>
    <xf numFmtId="0" fontId="72" fillId="15" borderId="162" xfId="47" applyFont="1" applyFill="1" applyBorder="1" applyAlignment="1">
      <alignment horizontal="left" vertical="center" indent="1"/>
    </xf>
    <xf numFmtId="0" fontId="72" fillId="2" borderId="2" xfId="47" applyFont="1" applyFill="1" applyBorder="1" applyAlignment="1">
      <alignment horizontal="left" vertical="center" indent="1"/>
    </xf>
    <xf numFmtId="0" fontId="72" fillId="2" borderId="3" xfId="47" applyFont="1" applyFill="1" applyBorder="1" applyAlignment="1">
      <alignment vertical="center"/>
    </xf>
    <xf numFmtId="0" fontId="72" fillId="2" borderId="3" xfId="47" applyFont="1" applyFill="1" applyBorder="1" applyAlignment="1">
      <alignment horizontal="left" vertical="center" indent="1"/>
    </xf>
    <xf numFmtId="0" fontId="72" fillId="2" borderId="54" xfId="47" applyFont="1" applyFill="1" applyBorder="1" applyAlignment="1">
      <alignment vertical="center"/>
    </xf>
    <xf numFmtId="0" fontId="72" fillId="0" borderId="132" xfId="47" applyFont="1" applyBorder="1" applyAlignment="1">
      <alignment vertical="center"/>
    </xf>
    <xf numFmtId="0" fontId="52" fillId="0" borderId="19" xfId="48" applyFont="1" applyBorder="1" applyAlignment="1">
      <alignment horizontal="right" vertical="center" indent="1"/>
    </xf>
    <xf numFmtId="0" fontId="51" fillId="0" borderId="20" xfId="48" applyFont="1" applyBorder="1" applyAlignment="1">
      <alignment horizontal="right" vertical="center" indent="1"/>
    </xf>
    <xf numFmtId="49" fontId="52" fillId="0" borderId="38" xfId="48" applyNumberFormat="1" applyFont="1" applyBorder="1" applyAlignment="1">
      <alignment horizontal="right" vertical="center" indent="1"/>
    </xf>
    <xf numFmtId="0" fontId="52" fillId="0" borderId="201" xfId="48" applyFont="1" applyBorder="1" applyAlignment="1">
      <alignment horizontal="right" vertical="center" indent="1"/>
    </xf>
    <xf numFmtId="0" fontId="52" fillId="0" borderId="255" xfId="48" applyFont="1" applyBorder="1" applyAlignment="1">
      <alignment horizontal="right" vertical="center" indent="1"/>
    </xf>
    <xf numFmtId="0" fontId="51" fillId="0" borderId="37" xfId="48" applyFont="1" applyBorder="1" applyAlignment="1">
      <alignment horizontal="right" vertical="center" indent="1"/>
    </xf>
    <xf numFmtId="0" fontId="51" fillId="0" borderId="38" xfId="48" applyFont="1" applyBorder="1" applyAlignment="1">
      <alignment horizontal="right" vertical="center" indent="1"/>
    </xf>
    <xf numFmtId="0" fontId="52" fillId="0" borderId="168" xfId="48" applyFont="1" applyBorder="1" applyAlignment="1">
      <alignment horizontal="right" vertical="center" indent="1"/>
    </xf>
    <xf numFmtId="0" fontId="52" fillId="0" borderId="37" xfId="48" applyFont="1" applyBorder="1" applyAlignment="1">
      <alignment horizontal="right" vertical="center" indent="1"/>
    </xf>
    <xf numFmtId="0" fontId="52" fillId="0" borderId="38" xfId="48" applyFont="1" applyBorder="1" applyAlignment="1">
      <alignment horizontal="right" vertical="center" indent="1"/>
    </xf>
    <xf numFmtId="0" fontId="52" fillId="0" borderId="4" xfId="48" applyFont="1" applyBorder="1" applyAlignment="1">
      <alignment horizontal="right" vertical="center" indent="1"/>
    </xf>
    <xf numFmtId="0" fontId="20" fillId="0" borderId="0" xfId="0" applyFont="1"/>
    <xf numFmtId="3" fontId="43" fillId="5" borderId="13" xfId="0" applyNumberFormat="1" applyFont="1" applyFill="1" applyBorder="1" applyAlignment="1">
      <alignment horizontal="left" vertical="center"/>
    </xf>
    <xf numFmtId="3" fontId="43" fillId="5" borderId="17" xfId="0" applyNumberFormat="1" applyFont="1" applyFill="1" applyBorder="1" applyAlignment="1">
      <alignment horizontal="left" vertical="center"/>
    </xf>
    <xf numFmtId="3" fontId="43" fillId="5" borderId="36" xfId="0" applyNumberFormat="1" applyFont="1" applyFill="1" applyBorder="1" applyAlignment="1">
      <alignment horizontal="left" vertical="center"/>
    </xf>
    <xf numFmtId="3" fontId="43" fillId="5" borderId="33" xfId="0" applyNumberFormat="1" applyFont="1" applyFill="1" applyBorder="1" applyAlignment="1">
      <alignment horizontal="left" vertical="center"/>
    </xf>
    <xf numFmtId="3" fontId="43" fillId="5" borderId="14" xfId="0" applyNumberFormat="1" applyFont="1" applyFill="1" applyBorder="1" applyAlignment="1">
      <alignment horizontal="left" vertical="center"/>
    </xf>
    <xf numFmtId="3" fontId="43" fillId="5" borderId="24" xfId="0" applyNumberFormat="1" applyFont="1" applyFill="1" applyBorder="1" applyAlignment="1">
      <alignment horizontal="left" vertical="center"/>
    </xf>
    <xf numFmtId="0" fontId="0" fillId="0" borderId="0" xfId="0" applyFont="1"/>
    <xf numFmtId="4" fontId="96" fillId="5" borderId="13" xfId="0" applyNumberFormat="1" applyFont="1" applyFill="1" applyBorder="1" applyAlignment="1">
      <alignment horizontal="center" vertical="center"/>
    </xf>
    <xf numFmtId="0" fontId="50" fillId="5" borderId="13" xfId="0" applyFont="1" applyFill="1" applyBorder="1" applyAlignment="1">
      <alignment horizontal="center" vertical="center"/>
    </xf>
    <xf numFmtId="0" fontId="24" fillId="11" borderId="293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3" fontId="43" fillId="6" borderId="17" xfId="0" applyNumberFormat="1" applyFont="1" applyFill="1" applyBorder="1" applyAlignment="1">
      <alignment horizontal="left" vertical="center"/>
    </xf>
    <xf numFmtId="3" fontId="43" fillId="6" borderId="13" xfId="0" applyNumberFormat="1" applyFont="1" applyFill="1" applyBorder="1" applyAlignment="1">
      <alignment horizontal="left" vertical="center"/>
    </xf>
    <xf numFmtId="3" fontId="43" fillId="6" borderId="24" xfId="0" applyNumberFormat="1" applyFont="1" applyFill="1" applyBorder="1" applyAlignment="1">
      <alignment horizontal="left" vertical="center"/>
    </xf>
    <xf numFmtId="0" fontId="24" fillId="35" borderId="288" xfId="0" applyFont="1" applyFill="1" applyBorder="1" applyAlignment="1">
      <alignment horizontal="center" vertical="center"/>
    </xf>
    <xf numFmtId="0" fontId="24" fillId="35" borderId="290" xfId="0" applyFont="1" applyFill="1" applyBorder="1" applyAlignment="1">
      <alignment horizontal="center" vertical="center"/>
    </xf>
    <xf numFmtId="3" fontId="43" fillId="3" borderId="276" xfId="0" applyNumberFormat="1" applyFont="1" applyFill="1" applyBorder="1" applyAlignment="1">
      <alignment horizontal="left" vertical="center"/>
    </xf>
    <xf numFmtId="3" fontId="43" fillId="3" borderId="277" xfId="0" applyNumberFormat="1" applyFont="1" applyFill="1" applyBorder="1" applyAlignment="1">
      <alignment horizontal="left" vertical="center"/>
    </xf>
    <xf numFmtId="3" fontId="43" fillId="5" borderId="102" xfId="0" applyNumberFormat="1" applyFont="1" applyFill="1" applyBorder="1" applyAlignment="1">
      <alignment horizontal="left" vertical="center"/>
    </xf>
    <xf numFmtId="3" fontId="43" fillId="5" borderId="103" xfId="0" applyNumberFormat="1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right" vertical="center" indent="1"/>
    </xf>
    <xf numFmtId="0" fontId="0" fillId="5" borderId="109" xfId="0" applyFont="1" applyFill="1" applyBorder="1" applyAlignment="1">
      <alignment horizontal="left" vertical="center"/>
    </xf>
    <xf numFmtId="0" fontId="0" fillId="5" borderId="43" xfId="0" applyFont="1" applyFill="1" applyBorder="1" applyAlignment="1">
      <alignment horizontal="left" vertical="center"/>
    </xf>
    <xf numFmtId="0" fontId="0" fillId="5" borderId="13" xfId="0" applyFont="1" applyFill="1" applyBorder="1" applyAlignment="1">
      <alignment horizontal="left" vertical="center"/>
    </xf>
    <xf numFmtId="0" fontId="0" fillId="5" borderId="49" xfId="0" applyFont="1" applyFill="1" applyBorder="1" applyAlignment="1">
      <alignment horizontal="left" vertical="center"/>
    </xf>
    <xf numFmtId="0" fontId="0" fillId="5" borderId="0" xfId="0" applyFont="1" applyFill="1" applyAlignment="1">
      <alignment horizontal="left" vertical="center"/>
    </xf>
    <xf numFmtId="0" fontId="0" fillId="5" borderId="102" xfId="0" applyFont="1" applyFill="1" applyBorder="1" applyAlignment="1">
      <alignment horizontal="left" vertical="center"/>
    </xf>
    <xf numFmtId="0" fontId="0" fillId="5" borderId="103" xfId="0" applyFont="1" applyFill="1" applyBorder="1" applyAlignment="1">
      <alignment horizontal="left" vertical="center"/>
    </xf>
    <xf numFmtId="0" fontId="0" fillId="5" borderId="36" xfId="0" applyFont="1" applyFill="1" applyBorder="1" applyAlignment="1">
      <alignment horizontal="left" vertical="center"/>
    </xf>
    <xf numFmtId="0" fontId="0" fillId="5" borderId="33" xfId="0" applyFont="1" applyFill="1" applyBorder="1" applyAlignment="1">
      <alignment horizontal="left" vertical="center"/>
    </xf>
    <xf numFmtId="0" fontId="0" fillId="5" borderId="40" xfId="0" applyFont="1" applyFill="1" applyBorder="1" applyAlignment="1">
      <alignment horizontal="left" vertical="center"/>
    </xf>
    <xf numFmtId="0" fontId="0" fillId="11" borderId="293" xfId="0" applyFont="1" applyFill="1" applyBorder="1" applyAlignment="1">
      <alignment horizontal="left" vertical="center"/>
    </xf>
    <xf numFmtId="0" fontId="0" fillId="11" borderId="294" xfId="0" applyFont="1" applyFill="1" applyBorder="1" applyAlignment="1">
      <alignment horizontal="left" vertical="center"/>
    </xf>
    <xf numFmtId="0" fontId="0" fillId="5" borderId="46" xfId="0" applyFont="1" applyFill="1" applyBorder="1" applyAlignment="1">
      <alignment horizontal="left" vertical="center"/>
    </xf>
    <xf numFmtId="0" fontId="0" fillId="2" borderId="133" xfId="0" applyFont="1" applyFill="1" applyBorder="1" applyAlignment="1">
      <alignment horizontal="left" vertical="center"/>
    </xf>
    <xf numFmtId="0" fontId="24" fillId="2" borderId="293" xfId="0" applyFont="1" applyFill="1" applyBorder="1" applyAlignment="1">
      <alignment horizontal="left" vertical="center"/>
    </xf>
    <xf numFmtId="0" fontId="0" fillId="2" borderId="293" xfId="0" applyFont="1" applyFill="1" applyBorder="1" applyAlignment="1">
      <alignment horizontal="left" vertical="center"/>
    </xf>
    <xf numFmtId="0" fontId="0" fillId="2" borderId="294" xfId="0" applyFont="1" applyFill="1" applyBorder="1" applyAlignment="1">
      <alignment horizontal="left" vertical="center"/>
    </xf>
    <xf numFmtId="0" fontId="0" fillId="3" borderId="268" xfId="0" applyFont="1" applyFill="1" applyBorder="1" applyAlignment="1">
      <alignment horizontal="left" vertical="center"/>
    </xf>
    <xf numFmtId="0" fontId="0" fillId="3" borderId="278" xfId="0" applyFont="1" applyFill="1" applyBorder="1" applyAlignment="1">
      <alignment horizontal="left" vertical="center"/>
    </xf>
    <xf numFmtId="0" fontId="24" fillId="3" borderId="278" xfId="0" applyFont="1" applyFill="1" applyBorder="1" applyAlignment="1">
      <alignment horizontal="left" vertical="center"/>
    </xf>
    <xf numFmtId="0" fontId="0" fillId="3" borderId="269" xfId="0" applyFont="1" applyFill="1" applyBorder="1" applyAlignment="1">
      <alignment horizontal="left" vertical="center"/>
    </xf>
    <xf numFmtId="0" fontId="0" fillId="36" borderId="282" xfId="0" applyFont="1" applyFill="1" applyBorder="1" applyAlignment="1">
      <alignment horizontal="left" vertical="center"/>
    </xf>
    <xf numFmtId="0" fontId="0" fillId="36" borderId="283" xfId="0" applyFont="1" applyFill="1" applyBorder="1" applyAlignment="1">
      <alignment horizontal="left" vertical="center"/>
    </xf>
    <xf numFmtId="0" fontId="0" fillId="36" borderId="284" xfId="0" applyFont="1" applyFill="1" applyBorder="1" applyAlignment="1">
      <alignment horizontal="left" vertical="center"/>
    </xf>
    <xf numFmtId="0" fontId="0" fillId="3" borderId="280" xfId="0" applyFont="1" applyFill="1" applyBorder="1" applyAlignment="1">
      <alignment horizontal="left" vertical="center"/>
    </xf>
    <xf numFmtId="0" fontId="0" fillId="5" borderId="282" xfId="0" applyFont="1" applyFill="1" applyBorder="1" applyAlignment="1">
      <alignment horizontal="left" vertical="center"/>
    </xf>
    <xf numFmtId="0" fontId="0" fillId="5" borderId="285" xfId="0" applyFont="1" applyFill="1" applyBorder="1" applyAlignment="1">
      <alignment horizontal="left" vertical="center"/>
    </xf>
    <xf numFmtId="0" fontId="0" fillId="5" borderId="283" xfId="0" applyFont="1" applyFill="1" applyBorder="1" applyAlignment="1">
      <alignment horizontal="left" vertical="center"/>
    </xf>
    <xf numFmtId="0" fontId="0" fillId="5" borderId="286" xfId="0" applyFont="1" applyFill="1" applyBorder="1" applyAlignment="1">
      <alignment horizontal="left" vertical="center"/>
    </xf>
    <xf numFmtId="0" fontId="0" fillId="5" borderId="284" xfId="0" applyFont="1" applyFill="1" applyBorder="1" applyAlignment="1">
      <alignment horizontal="left" vertical="center"/>
    </xf>
    <xf numFmtId="0" fontId="0" fillId="3" borderId="281" xfId="0" applyFont="1" applyFill="1" applyBorder="1" applyAlignment="1">
      <alignment horizontal="left" vertical="center"/>
    </xf>
    <xf numFmtId="0" fontId="0" fillId="5" borderId="24" xfId="0" applyFont="1" applyFill="1" applyBorder="1" applyAlignment="1">
      <alignment horizontal="left" vertical="center"/>
    </xf>
    <xf numFmtId="0" fontId="0" fillId="36" borderId="17" xfId="0" applyFont="1" applyFill="1" applyBorder="1" applyAlignment="1">
      <alignment horizontal="left" vertical="center"/>
    </xf>
    <xf numFmtId="0" fontId="0" fillId="36" borderId="13" xfId="0" applyFont="1" applyFill="1" applyBorder="1" applyAlignment="1">
      <alignment horizontal="left" vertical="center"/>
    </xf>
    <xf numFmtId="0" fontId="0" fillId="36" borderId="24" xfId="0" applyFont="1" applyFill="1" applyBorder="1" applyAlignment="1">
      <alignment horizontal="left" vertical="center"/>
    </xf>
    <xf numFmtId="0" fontId="0" fillId="5" borderId="17" xfId="0" applyFont="1" applyFill="1" applyBorder="1" applyAlignment="1">
      <alignment horizontal="left" vertical="center"/>
    </xf>
    <xf numFmtId="0" fontId="24" fillId="5" borderId="36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/>
    </xf>
    <xf numFmtId="0" fontId="0" fillId="5" borderId="73" xfId="0" applyFont="1" applyFill="1" applyBorder="1" applyAlignment="1">
      <alignment horizontal="left" vertical="center"/>
    </xf>
    <xf numFmtId="0" fontId="24" fillId="35" borderId="287" xfId="0" applyFont="1" applyFill="1" applyBorder="1" applyAlignment="1">
      <alignment horizontal="left" vertical="center"/>
    </xf>
    <xf numFmtId="3" fontId="33" fillId="5" borderId="102" xfId="0" applyNumberFormat="1" applyFont="1" applyFill="1" applyBorder="1" applyAlignment="1">
      <alignment horizontal="left" vertical="center"/>
    </xf>
    <xf numFmtId="3" fontId="33" fillId="3" borderId="276" xfId="0" applyNumberFormat="1" applyFont="1" applyFill="1" applyBorder="1" applyAlignment="1">
      <alignment horizontal="left" vertical="center"/>
    </xf>
    <xf numFmtId="3" fontId="33" fillId="5" borderId="17" xfId="0" applyNumberFormat="1" applyFont="1" applyFill="1" applyBorder="1" applyAlignment="1">
      <alignment horizontal="left" vertical="center"/>
    </xf>
    <xf numFmtId="3" fontId="33" fillId="5" borderId="73" xfId="0" applyNumberFormat="1" applyFont="1" applyFill="1" applyBorder="1" applyAlignment="1">
      <alignment horizontal="left" vertical="center"/>
    </xf>
    <xf numFmtId="3" fontId="33" fillId="5" borderId="14" xfId="0" applyNumberFormat="1" applyFont="1" applyFill="1" applyBorder="1" applyAlignment="1">
      <alignment horizontal="left" vertical="center"/>
    </xf>
    <xf numFmtId="0" fontId="24" fillId="35" borderId="289" xfId="0" applyFont="1" applyFill="1" applyBorder="1" applyAlignment="1">
      <alignment horizontal="left" vertical="center"/>
    </xf>
    <xf numFmtId="3" fontId="33" fillId="5" borderId="36" xfId="0" applyNumberFormat="1" applyFont="1" applyFill="1" applyBorder="1" applyAlignment="1">
      <alignment horizontal="left" vertical="center"/>
    </xf>
    <xf numFmtId="3" fontId="33" fillId="5" borderId="24" xfId="0" applyNumberFormat="1" applyFont="1" applyFill="1" applyBorder="1" applyAlignment="1">
      <alignment horizontal="left" vertical="center"/>
    </xf>
    <xf numFmtId="3" fontId="33" fillId="3" borderId="277" xfId="0" applyNumberFormat="1" applyFont="1" applyFill="1" applyBorder="1" applyAlignment="1">
      <alignment horizontal="left" vertical="center"/>
    </xf>
    <xf numFmtId="3" fontId="33" fillId="5" borderId="13" xfId="0" applyNumberFormat="1" applyFont="1" applyFill="1" applyBorder="1" applyAlignment="1">
      <alignment horizontal="left" vertical="center"/>
    </xf>
    <xf numFmtId="3" fontId="33" fillId="5" borderId="103" xfId="0" applyNumberFormat="1" applyFont="1" applyFill="1" applyBorder="1" applyAlignment="1">
      <alignment horizontal="left" vertical="center"/>
    </xf>
    <xf numFmtId="0" fontId="0" fillId="36" borderId="296" xfId="0" applyFont="1" applyFill="1" applyBorder="1" applyAlignment="1">
      <alignment horizontal="left" vertical="center"/>
    </xf>
    <xf numFmtId="3" fontId="31" fillId="36" borderId="63" xfId="0" applyNumberFormat="1" applyFont="1" applyFill="1" applyBorder="1" applyAlignment="1">
      <alignment horizontal="left" vertical="center"/>
    </xf>
    <xf numFmtId="3" fontId="33" fillId="36" borderId="63" xfId="0" applyNumberFormat="1" applyFont="1" applyFill="1" applyBorder="1" applyAlignment="1">
      <alignment horizontal="left" vertical="center"/>
    </xf>
    <xf numFmtId="3" fontId="33" fillId="36" borderId="64" xfId="0" applyNumberFormat="1" applyFont="1" applyFill="1" applyBorder="1" applyAlignment="1">
      <alignment horizontal="left" vertical="center"/>
    </xf>
    <xf numFmtId="3" fontId="33" fillId="5" borderId="49" xfId="0" applyNumberFormat="1" applyFont="1" applyFill="1" applyBorder="1" applyAlignment="1">
      <alignment horizontal="left" vertical="center"/>
    </xf>
    <xf numFmtId="3" fontId="42" fillId="5" borderId="102" xfId="0" applyNumberFormat="1" applyFont="1" applyFill="1" applyBorder="1" applyAlignment="1">
      <alignment horizontal="left" vertical="center"/>
    </xf>
    <xf numFmtId="3" fontId="42" fillId="3" borderId="276" xfId="0" applyNumberFormat="1" applyFont="1" applyFill="1" applyBorder="1" applyAlignment="1">
      <alignment horizontal="left" vertical="center"/>
    </xf>
    <xf numFmtId="3" fontId="42" fillId="5" borderId="19" xfId="0" applyNumberFormat="1" applyFont="1" applyFill="1" applyBorder="1" applyAlignment="1">
      <alignment horizontal="left" vertical="center"/>
    </xf>
    <xf numFmtId="3" fontId="42" fillId="5" borderId="37" xfId="0" applyNumberFormat="1" applyFont="1" applyFill="1" applyBorder="1" applyAlignment="1">
      <alignment horizontal="left" vertical="center"/>
    </xf>
    <xf numFmtId="3" fontId="42" fillId="5" borderId="20" xfId="0" applyNumberFormat="1" applyFont="1" applyFill="1" applyBorder="1" applyAlignment="1">
      <alignment horizontal="left" vertical="center"/>
    </xf>
    <xf numFmtId="3" fontId="42" fillId="5" borderId="38" xfId="0" applyNumberFormat="1" applyFont="1" applyFill="1" applyBorder="1" applyAlignment="1">
      <alignment horizontal="left" vertical="center"/>
    </xf>
    <xf numFmtId="3" fontId="42" fillId="5" borderId="4" xfId="0" applyNumberFormat="1" applyFont="1" applyFill="1" applyBorder="1" applyAlignment="1">
      <alignment horizontal="left" vertical="center"/>
    </xf>
    <xf numFmtId="3" fontId="42" fillId="3" borderId="277" xfId="0" applyNumberFormat="1" applyFont="1" applyFill="1" applyBorder="1" applyAlignment="1">
      <alignment horizontal="left" vertical="center"/>
    </xf>
    <xf numFmtId="3" fontId="42" fillId="5" borderId="13" xfId="0" applyNumberFormat="1" applyFont="1" applyFill="1" applyBorder="1" applyAlignment="1">
      <alignment horizontal="left" vertical="center"/>
    </xf>
    <xf numFmtId="3" fontId="42" fillId="5" borderId="103" xfId="0" applyNumberFormat="1" applyFont="1" applyFill="1" applyBorder="1" applyAlignment="1">
      <alignment horizontal="left" vertical="center"/>
    </xf>
    <xf numFmtId="0" fontId="0" fillId="37" borderId="17" xfId="0" applyFont="1" applyFill="1" applyBorder="1" applyAlignment="1">
      <alignment horizontal="left" vertical="center"/>
    </xf>
    <xf numFmtId="3" fontId="42" fillId="37" borderId="13" xfId="0" applyNumberFormat="1" applyFont="1" applyFill="1" applyBorder="1" applyAlignment="1">
      <alignment horizontal="left" vertical="center"/>
    </xf>
    <xf numFmtId="3" fontId="42" fillId="37" borderId="24" xfId="0" applyNumberFormat="1" applyFont="1" applyFill="1" applyBorder="1" applyAlignment="1">
      <alignment horizontal="left" vertical="center"/>
    </xf>
    <xf numFmtId="3" fontId="42" fillId="3" borderId="271" xfId="0" applyNumberFormat="1" applyFont="1" applyFill="1" applyBorder="1" applyAlignment="1">
      <alignment horizontal="left" vertical="center"/>
    </xf>
    <xf numFmtId="3" fontId="42" fillId="3" borderId="279" xfId="0" applyNumberFormat="1" applyFont="1" applyFill="1" applyBorder="1" applyAlignment="1">
      <alignment horizontal="left" vertical="center"/>
    </xf>
    <xf numFmtId="3" fontId="42" fillId="3" borderId="272" xfId="0" applyNumberFormat="1" applyFont="1" applyFill="1" applyBorder="1" applyAlignment="1">
      <alignment horizontal="left" vertical="center"/>
    </xf>
    <xf numFmtId="4" fontId="42" fillId="5" borderId="102" xfId="0" applyNumberFormat="1" applyFont="1" applyFill="1" applyBorder="1" applyAlignment="1">
      <alignment horizontal="left" vertical="center"/>
    </xf>
    <xf numFmtId="4" fontId="42" fillId="5" borderId="13" xfId="0" applyNumberFormat="1" applyFont="1" applyFill="1" applyBorder="1" applyAlignment="1">
      <alignment horizontal="left" vertical="center"/>
    </xf>
    <xf numFmtId="4" fontId="42" fillId="5" borderId="33" xfId="0" applyNumberFormat="1" applyFont="1" applyFill="1" applyBorder="1" applyAlignment="1">
      <alignment horizontal="left" vertical="center"/>
    </xf>
    <xf numFmtId="4" fontId="42" fillId="5" borderId="103" xfId="0" applyNumberFormat="1" applyFont="1" applyFill="1" applyBorder="1" applyAlignment="1">
      <alignment horizontal="left" vertical="center"/>
    </xf>
    <xf numFmtId="4" fontId="42" fillId="37" borderId="13" xfId="0" applyNumberFormat="1" applyFont="1" applyFill="1" applyBorder="1" applyAlignment="1">
      <alignment horizontal="left" vertical="center"/>
    </xf>
    <xf numFmtId="4" fontId="42" fillId="37" borderId="24" xfId="0" applyNumberFormat="1" applyFont="1" applyFill="1" applyBorder="1" applyAlignment="1">
      <alignment horizontal="left" vertical="center"/>
    </xf>
    <xf numFmtId="3" fontId="41" fillId="5" borderId="13" xfId="0" applyNumberFormat="1" applyFont="1" applyFill="1" applyBorder="1" applyAlignment="1">
      <alignment horizontal="left" vertical="center"/>
    </xf>
    <xf numFmtId="0" fontId="0" fillId="0" borderId="13" xfId="0" applyFont="1" applyBorder="1" applyAlignment="1">
      <alignment vertical="center"/>
    </xf>
    <xf numFmtId="3" fontId="43" fillId="37" borderId="13" xfId="0" applyNumberFormat="1" applyFont="1" applyFill="1" applyBorder="1" applyAlignment="1">
      <alignment horizontal="left" vertical="center"/>
    </xf>
    <xf numFmtId="3" fontId="43" fillId="37" borderId="24" xfId="0" applyNumberFormat="1" applyFont="1" applyFill="1" applyBorder="1" applyAlignment="1">
      <alignment horizontal="left" vertical="center"/>
    </xf>
    <xf numFmtId="3" fontId="43" fillId="37" borderId="17" xfId="0" applyNumberFormat="1" applyFont="1" applyFill="1" applyBorder="1" applyAlignment="1">
      <alignment horizontal="left" vertical="center"/>
    </xf>
    <xf numFmtId="4" fontId="43" fillId="5" borderId="13" xfId="0" applyNumberFormat="1" applyFont="1" applyFill="1" applyBorder="1" applyAlignment="1">
      <alignment horizontal="left" vertical="center"/>
    </xf>
    <xf numFmtId="0" fontId="0" fillId="37" borderId="13" xfId="0" applyFont="1" applyFill="1" applyBorder="1" applyAlignment="1">
      <alignment horizontal="left" vertical="center"/>
    </xf>
    <xf numFmtId="0" fontId="0" fillId="37" borderId="24" xfId="0" applyFont="1" applyFill="1" applyBorder="1" applyAlignment="1">
      <alignment horizontal="left" vertical="center"/>
    </xf>
    <xf numFmtId="0" fontId="0" fillId="5" borderId="120" xfId="0" applyFont="1" applyFill="1" applyBorder="1" applyAlignment="1">
      <alignment horizontal="left" vertical="center"/>
    </xf>
    <xf numFmtId="0" fontId="0" fillId="5" borderId="121" xfId="0" applyFont="1" applyFill="1" applyBorder="1" applyAlignment="1">
      <alignment horizontal="left" vertical="center"/>
    </xf>
    <xf numFmtId="170" fontId="42" fillId="5" borderId="13" xfId="0" applyNumberFormat="1" applyFont="1" applyFill="1" applyBorder="1" applyAlignment="1">
      <alignment horizontal="left" vertical="center"/>
    </xf>
    <xf numFmtId="0" fontId="0" fillId="5" borderId="18" xfId="0" applyFont="1" applyFill="1" applyBorder="1" applyAlignment="1">
      <alignment horizontal="left" vertical="center"/>
    </xf>
    <xf numFmtId="0" fontId="0" fillId="37" borderId="19" xfId="0" applyFont="1" applyFill="1" applyBorder="1" applyAlignment="1">
      <alignment horizontal="left" vertical="center"/>
    </xf>
    <xf numFmtId="0" fontId="0" fillId="37" borderId="20" xfId="0" applyFont="1" applyFill="1" applyBorder="1" applyAlignment="1">
      <alignment horizontal="left" vertical="center"/>
    </xf>
    <xf numFmtId="0" fontId="0" fillId="37" borderId="4" xfId="0" applyFont="1" applyFill="1" applyBorder="1" applyAlignment="1">
      <alignment horizontal="left" vertical="center"/>
    </xf>
    <xf numFmtId="4" fontId="43" fillId="11" borderId="292" xfId="0" applyNumberFormat="1" applyFont="1" applyFill="1" applyBorder="1" applyAlignment="1">
      <alignment horizontal="left" vertical="center"/>
    </xf>
    <xf numFmtId="4" fontId="43" fillId="11" borderId="293" xfId="0" applyNumberFormat="1" applyFont="1" applyFill="1" applyBorder="1" applyAlignment="1">
      <alignment horizontal="left" vertical="center"/>
    </xf>
    <xf numFmtId="4" fontId="43" fillId="11" borderId="294" xfId="0" applyNumberFormat="1" applyFont="1" applyFill="1" applyBorder="1" applyAlignment="1">
      <alignment horizontal="left" vertical="center"/>
    </xf>
    <xf numFmtId="3" fontId="33" fillId="5" borderId="33" xfId="0" applyNumberFormat="1" applyFont="1" applyFill="1" applyBorder="1" applyAlignment="1">
      <alignment horizontal="left" vertical="center"/>
    </xf>
    <xf numFmtId="0" fontId="0" fillId="5" borderId="45" xfId="0" applyFont="1" applyFill="1" applyBorder="1" applyAlignment="1">
      <alignment horizontal="left" vertical="center"/>
    </xf>
    <xf numFmtId="3" fontId="42" fillId="5" borderId="33" xfId="0" applyNumberFormat="1" applyFont="1" applyFill="1" applyBorder="1" applyAlignment="1">
      <alignment horizontal="left" vertical="center"/>
    </xf>
    <xf numFmtId="0" fontId="0" fillId="5" borderId="298" xfId="0" applyFont="1" applyFill="1" applyBorder="1" applyAlignment="1">
      <alignment horizontal="left" vertical="center"/>
    </xf>
    <xf numFmtId="3" fontId="42" fillId="5" borderId="298" xfId="0" applyNumberFormat="1" applyFont="1" applyFill="1" applyBorder="1" applyAlignment="1">
      <alignment horizontal="left" vertical="center"/>
    </xf>
    <xf numFmtId="0" fontId="0" fillId="5" borderId="31" xfId="0" applyFont="1" applyFill="1" applyBorder="1" applyAlignment="1">
      <alignment horizontal="left" vertical="center"/>
    </xf>
    <xf numFmtId="4" fontId="42" fillId="11" borderId="292" xfId="0" applyNumberFormat="1" applyFont="1" applyFill="1" applyBorder="1" applyAlignment="1">
      <alignment horizontal="left" vertical="center"/>
    </xf>
    <xf numFmtId="4" fontId="42" fillId="11" borderId="293" xfId="0" applyNumberFormat="1" applyFont="1" applyFill="1" applyBorder="1" applyAlignment="1">
      <alignment horizontal="left" vertical="center"/>
    </xf>
    <xf numFmtId="4" fontId="42" fillId="5" borderId="45" xfId="0" applyNumberFormat="1" applyFont="1" applyFill="1" applyBorder="1" applyAlignment="1">
      <alignment horizontal="left" vertical="center"/>
    </xf>
    <xf numFmtId="4" fontId="42" fillId="5" borderId="36" xfId="0" applyNumberFormat="1" applyFont="1" applyFill="1" applyBorder="1" applyAlignment="1">
      <alignment horizontal="left" vertical="center"/>
    </xf>
    <xf numFmtId="4" fontId="42" fillId="3" borderId="17" xfId="0" applyNumberFormat="1" applyFont="1" applyFill="1" applyBorder="1" applyAlignment="1">
      <alignment horizontal="left" vertical="center"/>
    </xf>
    <xf numFmtId="4" fontId="42" fillId="3" borderId="13" xfId="0" applyNumberFormat="1" applyFont="1" applyFill="1" applyBorder="1" applyAlignment="1">
      <alignment horizontal="left" vertical="center"/>
    </xf>
    <xf numFmtId="4" fontId="42" fillId="3" borderId="24" xfId="0" applyNumberFormat="1" applyFont="1" applyFill="1" applyBorder="1" applyAlignment="1">
      <alignment horizontal="left" vertical="center"/>
    </xf>
    <xf numFmtId="170" fontId="42" fillId="5" borderId="36" xfId="0" applyNumberFormat="1" applyFont="1" applyFill="1" applyBorder="1" applyAlignment="1">
      <alignment horizontal="left" vertical="center"/>
    </xf>
    <xf numFmtId="170" fontId="42" fillId="3" borderId="17" xfId="0" applyNumberFormat="1" applyFont="1" applyFill="1" applyBorder="1" applyAlignment="1">
      <alignment horizontal="left" vertical="center"/>
    </xf>
    <xf numFmtId="170" fontId="42" fillId="3" borderId="13" xfId="0" applyNumberFormat="1" applyFont="1" applyFill="1" applyBorder="1" applyAlignment="1">
      <alignment horizontal="left" vertical="center"/>
    </xf>
    <xf numFmtId="170" fontId="42" fillId="3" borderId="24" xfId="0" applyNumberFormat="1" applyFont="1" applyFill="1" applyBorder="1" applyAlignment="1">
      <alignment horizontal="left" vertical="center"/>
    </xf>
    <xf numFmtId="3" fontId="42" fillId="5" borderId="14" xfId="0" applyNumberFormat="1" applyFont="1" applyFill="1" applyBorder="1" applyAlignment="1">
      <alignment horizontal="left" vertical="center"/>
    </xf>
    <xf numFmtId="3" fontId="42" fillId="3" borderId="17" xfId="0" applyNumberFormat="1" applyFont="1" applyFill="1" applyBorder="1" applyAlignment="1">
      <alignment horizontal="left" vertical="center"/>
    </xf>
    <xf numFmtId="3" fontId="42" fillId="3" borderId="13" xfId="0" applyNumberFormat="1" applyFont="1" applyFill="1" applyBorder="1" applyAlignment="1">
      <alignment horizontal="left" vertical="center"/>
    </xf>
    <xf numFmtId="3" fontId="42" fillId="3" borderId="24" xfId="0" applyNumberFormat="1" applyFont="1" applyFill="1" applyBorder="1" applyAlignment="1">
      <alignment horizontal="left" vertical="center"/>
    </xf>
    <xf numFmtId="3" fontId="42" fillId="5" borderId="36" xfId="0" applyNumberFormat="1" applyFont="1" applyFill="1" applyBorder="1" applyAlignment="1">
      <alignment horizontal="left" vertical="center"/>
    </xf>
    <xf numFmtId="0" fontId="20" fillId="0" borderId="1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6" borderId="282" xfId="0" applyFont="1" applyFill="1" applyBorder="1" applyAlignment="1">
      <alignment vertical="center"/>
    </xf>
    <xf numFmtId="0" fontId="20" fillId="6" borderId="283" xfId="0" applyFont="1" applyFill="1" applyBorder="1" applyAlignment="1">
      <alignment vertical="center"/>
    </xf>
    <xf numFmtId="0" fontId="20" fillId="6" borderId="284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3" fontId="33" fillId="6" borderId="17" xfId="0" applyNumberFormat="1" applyFont="1" applyFill="1" applyBorder="1" applyAlignment="1">
      <alignment horizontal="left" vertical="center"/>
    </xf>
    <xf numFmtId="3" fontId="33" fillId="6" borderId="13" xfId="0" applyNumberFormat="1" applyFont="1" applyFill="1" applyBorder="1" applyAlignment="1">
      <alignment horizontal="left" vertical="center"/>
    </xf>
    <xf numFmtId="3" fontId="33" fillId="6" borderId="24" xfId="0" applyNumberFormat="1" applyFont="1" applyFill="1" applyBorder="1" applyAlignment="1">
      <alignment horizontal="left" vertical="center"/>
    </xf>
    <xf numFmtId="3" fontId="42" fillId="5" borderId="43" xfId="0" applyNumberFormat="1" applyFont="1" applyFill="1" applyBorder="1" applyAlignment="1">
      <alignment horizontal="left" vertical="center"/>
    </xf>
    <xf numFmtId="0" fontId="0" fillId="5" borderId="53" xfId="0" applyFont="1" applyFill="1" applyBorder="1" applyAlignment="1">
      <alignment horizontal="left" vertical="center"/>
    </xf>
    <xf numFmtId="0" fontId="0" fillId="5" borderId="19" xfId="0" applyFont="1" applyFill="1" applyBorder="1" applyAlignment="1">
      <alignment horizontal="left" vertical="center"/>
    </xf>
    <xf numFmtId="0" fontId="0" fillId="5" borderId="20" xfId="0" applyFont="1" applyFill="1" applyBorder="1" applyAlignment="1">
      <alignment horizontal="left" vertical="center"/>
    </xf>
    <xf numFmtId="0" fontId="0" fillId="5" borderId="4" xfId="0" applyFont="1" applyFill="1" applyBorder="1" applyAlignment="1">
      <alignment horizontal="left" vertical="center"/>
    </xf>
    <xf numFmtId="0" fontId="0" fillId="5" borderId="44" xfId="0" applyFont="1" applyFill="1" applyBorder="1" applyAlignment="1">
      <alignment horizontal="left" vertical="center"/>
    </xf>
    <xf numFmtId="3" fontId="42" fillId="5" borderId="297" xfId="0" applyNumberFormat="1" applyFont="1" applyFill="1" applyBorder="1" applyAlignment="1">
      <alignment horizontal="left" vertical="center"/>
    </xf>
    <xf numFmtId="4" fontId="42" fillId="11" borderId="294" xfId="0" applyNumberFormat="1" applyFont="1" applyFill="1" applyBorder="1" applyAlignment="1">
      <alignment horizontal="left" vertical="center"/>
    </xf>
    <xf numFmtId="4" fontId="42" fillId="5" borderId="53" xfId="0" applyNumberFormat="1" applyFont="1" applyFill="1" applyBorder="1" applyAlignment="1">
      <alignment horizontal="left" vertical="center"/>
    </xf>
    <xf numFmtId="0" fontId="0" fillId="2" borderId="292" xfId="0" applyFont="1" applyFill="1" applyBorder="1" applyAlignment="1">
      <alignment horizontal="left" vertical="center"/>
    </xf>
    <xf numFmtId="0" fontId="47" fillId="2" borderId="293" xfId="0" applyFont="1" applyFill="1" applyBorder="1" applyAlignment="1">
      <alignment horizontal="left" vertical="center"/>
    </xf>
    <xf numFmtId="3" fontId="43" fillId="3" borderId="282" xfId="0" applyNumberFormat="1" applyFont="1" applyFill="1" applyBorder="1" applyAlignment="1">
      <alignment horizontal="left" vertical="center"/>
    </xf>
    <xf numFmtId="3" fontId="101" fillId="3" borderId="283" xfId="0" applyNumberFormat="1" applyFont="1" applyFill="1" applyBorder="1" applyAlignment="1">
      <alignment horizontal="left" vertical="center"/>
    </xf>
    <xf numFmtId="3" fontId="43" fillId="3" borderId="283" xfId="0" applyNumberFormat="1" applyFont="1" applyFill="1" applyBorder="1" applyAlignment="1">
      <alignment horizontal="left" vertical="center"/>
    </xf>
    <xf numFmtId="3" fontId="43" fillId="3" borderId="284" xfId="0" applyNumberFormat="1" applyFont="1" applyFill="1" applyBorder="1" applyAlignment="1">
      <alignment horizontal="left" vertical="center"/>
    </xf>
    <xf numFmtId="4" fontId="42" fillId="34" borderId="282" xfId="0" applyNumberFormat="1" applyFont="1" applyFill="1" applyBorder="1" applyAlignment="1">
      <alignment horizontal="left" vertical="center"/>
    </xf>
    <xf numFmtId="4" fontId="42" fillId="34" borderId="283" xfId="0" applyNumberFormat="1" applyFont="1" applyFill="1" applyBorder="1" applyAlignment="1">
      <alignment horizontal="left" vertical="center"/>
    </xf>
    <xf numFmtId="4" fontId="101" fillId="34" borderId="283" xfId="0" applyNumberFormat="1" applyFont="1" applyFill="1" applyBorder="1" applyAlignment="1">
      <alignment horizontal="left" vertical="center"/>
    </xf>
    <xf numFmtId="4" fontId="42" fillId="34" borderId="284" xfId="0" applyNumberFormat="1" applyFont="1" applyFill="1" applyBorder="1" applyAlignment="1">
      <alignment horizontal="left" vertical="center"/>
    </xf>
    <xf numFmtId="0" fontId="99" fillId="11" borderId="283" xfId="0" applyFont="1" applyFill="1" applyBorder="1" applyAlignment="1">
      <alignment horizontal="left" vertical="center" indent="1"/>
    </xf>
    <xf numFmtId="0" fontId="0" fillId="11" borderId="283" xfId="0" applyFont="1" applyFill="1" applyBorder="1" applyAlignment="1">
      <alignment horizontal="left" vertical="center"/>
    </xf>
    <xf numFmtId="4" fontId="42" fillId="36" borderId="282" xfId="0" applyNumberFormat="1" applyFont="1" applyFill="1" applyBorder="1" applyAlignment="1">
      <alignment horizontal="left" vertical="center"/>
    </xf>
    <xf numFmtId="4" fontId="42" fillId="36" borderId="283" xfId="0" applyNumberFormat="1" applyFont="1" applyFill="1" applyBorder="1" applyAlignment="1">
      <alignment horizontal="left" vertical="center"/>
    </xf>
    <xf numFmtId="4" fontId="42" fillId="36" borderId="284" xfId="0" applyNumberFormat="1" applyFont="1" applyFill="1" applyBorder="1" applyAlignment="1">
      <alignment horizontal="left" vertical="center"/>
    </xf>
    <xf numFmtId="3" fontId="33" fillId="36" borderId="17" xfId="0" applyNumberFormat="1" applyFont="1" applyFill="1" applyBorder="1" applyAlignment="1">
      <alignment horizontal="left" vertical="center"/>
    </xf>
    <xf numFmtId="3" fontId="33" fillId="36" borderId="13" xfId="0" applyNumberFormat="1" applyFont="1" applyFill="1" applyBorder="1" applyAlignment="1">
      <alignment horizontal="left" vertical="center"/>
    </xf>
    <xf numFmtId="3" fontId="33" fillId="36" borderId="24" xfId="0" applyNumberFormat="1" applyFont="1" applyFill="1" applyBorder="1" applyAlignment="1">
      <alignment horizontal="left" vertical="center"/>
    </xf>
    <xf numFmtId="3" fontId="43" fillId="36" borderId="17" xfId="0" applyNumberFormat="1" applyFont="1" applyFill="1" applyBorder="1" applyAlignment="1">
      <alignment horizontal="left" vertical="center"/>
    </xf>
    <xf numFmtId="3" fontId="43" fillId="36" borderId="13" xfId="0" applyNumberFormat="1" applyFont="1" applyFill="1" applyBorder="1" applyAlignment="1">
      <alignment horizontal="left" vertical="center"/>
    </xf>
    <xf numFmtId="3" fontId="43" fillId="36" borderId="24" xfId="0" applyNumberFormat="1" applyFont="1" applyFill="1" applyBorder="1" applyAlignment="1">
      <alignment horizontal="left" vertical="center"/>
    </xf>
    <xf numFmtId="3" fontId="42" fillId="36" borderId="17" xfId="0" applyNumberFormat="1" applyFont="1" applyFill="1" applyBorder="1" applyAlignment="1">
      <alignment horizontal="left" vertical="center"/>
    </xf>
    <xf numFmtId="3" fontId="42" fillId="36" borderId="13" xfId="0" applyNumberFormat="1" applyFont="1" applyFill="1" applyBorder="1" applyAlignment="1">
      <alignment horizontal="left" vertical="center"/>
    </xf>
    <xf numFmtId="3" fontId="42" fillId="36" borderId="24" xfId="0" applyNumberFormat="1" applyFont="1" applyFill="1" applyBorder="1" applyAlignment="1">
      <alignment horizontal="left" vertical="center"/>
    </xf>
    <xf numFmtId="0" fontId="20" fillId="36" borderId="24" xfId="0" applyFont="1" applyFill="1" applyBorder="1" applyAlignment="1">
      <alignment vertical="center"/>
    </xf>
    <xf numFmtId="0" fontId="0" fillId="36" borderId="19" xfId="0" applyFont="1" applyFill="1" applyBorder="1" applyAlignment="1">
      <alignment horizontal="left" vertical="center"/>
    </xf>
    <xf numFmtId="0" fontId="0" fillId="36" borderId="20" xfId="0" applyFont="1" applyFill="1" applyBorder="1" applyAlignment="1">
      <alignment horizontal="left" vertical="center"/>
    </xf>
    <xf numFmtId="0" fontId="20" fillId="36" borderId="4" xfId="0" applyFont="1" applyFill="1" applyBorder="1" applyAlignment="1">
      <alignment vertical="center"/>
    </xf>
    <xf numFmtId="3" fontId="43" fillId="37" borderId="282" xfId="0" applyNumberFormat="1" applyFont="1" applyFill="1" applyBorder="1" applyAlignment="1">
      <alignment horizontal="left" vertical="center"/>
    </xf>
    <xf numFmtId="3" fontId="43" fillId="37" borderId="283" xfId="0" applyNumberFormat="1" applyFont="1" applyFill="1" applyBorder="1" applyAlignment="1">
      <alignment horizontal="left" vertical="center"/>
    </xf>
    <xf numFmtId="3" fontId="43" fillId="37" borderId="284" xfId="0" applyNumberFormat="1" applyFont="1" applyFill="1" applyBorder="1" applyAlignment="1">
      <alignment horizontal="left" vertical="center"/>
    </xf>
    <xf numFmtId="0" fontId="24" fillId="37" borderId="13" xfId="0" applyFont="1" applyFill="1" applyBorder="1" applyAlignment="1">
      <alignment horizontal="left" vertical="center"/>
    </xf>
    <xf numFmtId="0" fontId="0" fillId="5" borderId="122" xfId="0" applyFont="1" applyFill="1" applyBorder="1" applyAlignment="1">
      <alignment horizontal="left" vertical="center"/>
    </xf>
    <xf numFmtId="0" fontId="0" fillId="5" borderId="27" xfId="0" applyFont="1" applyFill="1" applyBorder="1" applyAlignment="1">
      <alignment horizontal="left" vertical="center"/>
    </xf>
    <xf numFmtId="0" fontId="20" fillId="0" borderId="36" xfId="0" applyFont="1" applyBorder="1" applyAlignment="1">
      <alignment vertical="center"/>
    </xf>
    <xf numFmtId="0" fontId="18" fillId="5" borderId="13" xfId="0" applyFont="1" applyFill="1" applyBorder="1" applyAlignment="1">
      <alignment horizontal="left" vertical="center" indent="1"/>
    </xf>
    <xf numFmtId="0" fontId="0" fillId="38" borderId="184" xfId="0" applyFont="1" applyFill="1" applyBorder="1" applyAlignment="1">
      <alignment horizontal="left" vertical="center"/>
    </xf>
    <xf numFmtId="0" fontId="0" fillId="38" borderId="185" xfId="0" applyFont="1" applyFill="1" applyBorder="1" applyAlignment="1">
      <alignment horizontal="left" vertical="center"/>
    </xf>
    <xf numFmtId="0" fontId="47" fillId="38" borderId="185" xfId="0" applyFont="1" applyFill="1" applyBorder="1" applyAlignment="1">
      <alignment horizontal="left" vertical="center"/>
    </xf>
    <xf numFmtId="0" fontId="0" fillId="38" borderId="318" xfId="0" applyFont="1" applyFill="1" applyBorder="1" applyAlignment="1">
      <alignment horizontal="left" vertical="center"/>
    </xf>
    <xf numFmtId="0" fontId="0" fillId="38" borderId="97" xfId="0" applyFont="1" applyFill="1" applyBorder="1" applyAlignment="1">
      <alignment horizontal="left" vertical="center"/>
    </xf>
    <xf numFmtId="0" fontId="47" fillId="38" borderId="97" xfId="0" applyFont="1" applyFill="1" applyBorder="1" applyAlignment="1">
      <alignment horizontal="left" vertical="center"/>
    </xf>
    <xf numFmtId="0" fontId="0" fillId="38" borderId="319" xfId="0" applyFont="1" applyFill="1" applyBorder="1" applyAlignment="1">
      <alignment horizontal="left" vertical="center"/>
    </xf>
    <xf numFmtId="0" fontId="0" fillId="5" borderId="320" xfId="0" applyFont="1" applyFill="1" applyBorder="1" applyAlignment="1">
      <alignment horizontal="left" vertical="center"/>
    </xf>
    <xf numFmtId="3" fontId="43" fillId="5" borderId="53" xfId="0" applyNumberFormat="1" applyFont="1" applyFill="1" applyBorder="1" applyAlignment="1">
      <alignment horizontal="left" vertical="center"/>
    </xf>
    <xf numFmtId="3" fontId="33" fillId="32" borderId="36" xfId="0" applyNumberFormat="1" applyFont="1" applyFill="1" applyBorder="1" applyAlignment="1">
      <alignment horizontal="left" vertical="center"/>
    </xf>
    <xf numFmtId="0" fontId="0" fillId="32" borderId="321" xfId="0" applyFont="1" applyFill="1" applyBorder="1" applyAlignment="1">
      <alignment horizontal="left" vertical="center"/>
    </xf>
    <xf numFmtId="0" fontId="0" fillId="32" borderId="45" xfId="0" applyFont="1" applyFill="1" applyBorder="1" applyAlignment="1">
      <alignment horizontal="left" vertical="center"/>
    </xf>
    <xf numFmtId="3" fontId="42" fillId="32" borderId="36" xfId="0" applyNumberFormat="1" applyFont="1" applyFill="1" applyBorder="1" applyAlignment="1">
      <alignment horizontal="left" vertical="center"/>
    </xf>
    <xf numFmtId="0" fontId="0" fillId="5" borderId="322" xfId="0" applyFont="1" applyFill="1" applyBorder="1" applyAlignment="1">
      <alignment horizontal="left" vertical="center"/>
    </xf>
    <xf numFmtId="3" fontId="33" fillId="32" borderId="323" xfId="0" applyNumberFormat="1" applyFont="1" applyFill="1" applyBorder="1" applyAlignment="1">
      <alignment horizontal="left" vertical="center"/>
    </xf>
    <xf numFmtId="3" fontId="33" fillId="5" borderId="324" xfId="0" applyNumberFormat="1" applyFont="1" applyFill="1" applyBorder="1" applyAlignment="1">
      <alignment horizontal="left" vertical="center"/>
    </xf>
    <xf numFmtId="0" fontId="0" fillId="32" borderId="325" xfId="0" applyFont="1" applyFill="1" applyBorder="1" applyAlignment="1">
      <alignment horizontal="left" vertical="center"/>
    </xf>
    <xf numFmtId="0" fontId="0" fillId="5" borderId="326" xfId="0" applyFont="1" applyFill="1" applyBorder="1" applyAlignment="1">
      <alignment horizontal="left" vertical="center"/>
    </xf>
    <xf numFmtId="0" fontId="0" fillId="32" borderId="327" xfId="0" applyFont="1" applyFill="1" applyBorder="1" applyAlignment="1">
      <alignment horizontal="left" vertical="center"/>
    </xf>
    <xf numFmtId="3" fontId="43" fillId="5" borderId="328" xfId="0" applyNumberFormat="1" applyFont="1" applyFill="1" applyBorder="1" applyAlignment="1">
      <alignment horizontal="left" vertical="center"/>
    </xf>
    <xf numFmtId="3" fontId="42" fillId="32" borderId="323" xfId="0" applyNumberFormat="1" applyFont="1" applyFill="1" applyBorder="1" applyAlignment="1">
      <alignment horizontal="left" vertical="center"/>
    </xf>
    <xf numFmtId="3" fontId="42" fillId="5" borderId="324" xfId="0" applyNumberFormat="1" applyFont="1" applyFill="1" applyBorder="1" applyAlignment="1">
      <alignment horizontal="left" vertical="center"/>
    </xf>
    <xf numFmtId="0" fontId="24" fillId="11" borderId="133" xfId="0" applyFont="1" applyFill="1" applyBorder="1" applyAlignment="1">
      <alignment horizontal="left" vertical="center"/>
    </xf>
    <xf numFmtId="0" fontId="102" fillId="5" borderId="0" xfId="0" applyFont="1" applyFill="1" applyBorder="1" applyAlignment="1">
      <alignment vertical="center"/>
    </xf>
    <xf numFmtId="0" fontId="29" fillId="5" borderId="14" xfId="0" applyFont="1" applyFill="1" applyBorder="1" applyAlignment="1">
      <alignment horizontal="left" vertical="center"/>
    </xf>
    <xf numFmtId="0" fontId="29" fillId="5" borderId="109" xfId="0" applyFont="1" applyFill="1" applyBorder="1" applyAlignment="1">
      <alignment horizontal="left" vertical="center"/>
    </xf>
    <xf numFmtId="170" fontId="29" fillId="5" borderId="13" xfId="0" applyNumberFormat="1" applyFont="1" applyFill="1" applyBorder="1" applyAlignment="1">
      <alignment vertical="center"/>
    </xf>
    <xf numFmtId="0" fontId="29" fillId="5" borderId="13" xfId="0" applyFont="1" applyFill="1" applyBorder="1" applyAlignment="1">
      <alignment vertical="center"/>
    </xf>
    <xf numFmtId="0" fontId="0" fillId="5" borderId="123" xfId="0" applyFont="1" applyFill="1" applyBorder="1" applyAlignment="1">
      <alignment horizontal="left" vertical="center"/>
    </xf>
    <xf numFmtId="0" fontId="0" fillId="5" borderId="331" xfId="0" applyFont="1" applyFill="1" applyBorder="1" applyAlignment="1">
      <alignment horizontal="left" vertical="center"/>
    </xf>
    <xf numFmtId="0" fontId="0" fillId="5" borderId="321" xfId="0" applyFont="1" applyFill="1" applyBorder="1" applyAlignment="1">
      <alignment horizontal="left" vertical="center"/>
    </xf>
    <xf numFmtId="3" fontId="43" fillId="5" borderId="45" xfId="0" applyNumberFormat="1" applyFont="1" applyFill="1" applyBorder="1" applyAlignment="1">
      <alignment horizontal="left" vertical="center"/>
    </xf>
    <xf numFmtId="3" fontId="33" fillId="5" borderId="43" xfId="0" applyNumberFormat="1" applyFont="1" applyFill="1" applyBorder="1" applyAlignment="1">
      <alignment horizontal="left" vertical="center"/>
    </xf>
    <xf numFmtId="0" fontId="0" fillId="5" borderId="332" xfId="0" applyFont="1" applyFill="1" applyBorder="1" applyAlignment="1">
      <alignment horizontal="left" vertical="center"/>
    </xf>
    <xf numFmtId="0" fontId="0" fillId="5" borderId="333" xfId="0" applyFont="1" applyFill="1" applyBorder="1" applyAlignment="1">
      <alignment horizontal="left" vertical="center"/>
    </xf>
    <xf numFmtId="3" fontId="43" fillId="5" borderId="334" xfId="0" applyNumberFormat="1" applyFont="1" applyFill="1" applyBorder="1" applyAlignment="1">
      <alignment horizontal="left" vertical="center"/>
    </xf>
    <xf numFmtId="3" fontId="43" fillId="5" borderId="335" xfId="0" applyNumberFormat="1" applyFont="1" applyFill="1" applyBorder="1" applyAlignment="1">
      <alignment horizontal="left" vertical="center"/>
    </xf>
    <xf numFmtId="3" fontId="42" fillId="5" borderId="336" xfId="0" applyNumberFormat="1" applyFont="1" applyFill="1" applyBorder="1" applyAlignment="1">
      <alignment horizontal="left" vertical="center"/>
    </xf>
    <xf numFmtId="3" fontId="42" fillId="5" borderId="337" xfId="0" applyNumberFormat="1" applyFont="1" applyFill="1" applyBorder="1" applyAlignment="1">
      <alignment horizontal="left" vertical="center"/>
    </xf>
    <xf numFmtId="3" fontId="42" fillId="5" borderId="338" xfId="0" applyNumberFormat="1" applyFont="1" applyFill="1" applyBorder="1" applyAlignment="1">
      <alignment horizontal="left" vertical="center"/>
    </xf>
    <xf numFmtId="3" fontId="42" fillId="5" borderId="339" xfId="0" applyNumberFormat="1" applyFont="1" applyFill="1" applyBorder="1" applyAlignment="1">
      <alignment horizontal="left" vertical="center"/>
    </xf>
    <xf numFmtId="0" fontId="0" fillId="39" borderId="97" xfId="0" applyFont="1" applyFill="1" applyBorder="1" applyAlignment="1">
      <alignment horizontal="left" vertical="center"/>
    </xf>
    <xf numFmtId="0" fontId="0" fillId="7" borderId="282" xfId="0" applyFont="1" applyFill="1" applyBorder="1" applyAlignment="1">
      <alignment horizontal="left" vertical="center"/>
    </xf>
    <xf numFmtId="0" fontId="0" fillId="7" borderId="284" xfId="0" applyFont="1" applyFill="1" applyBorder="1" applyAlignment="1">
      <alignment horizontal="left" vertical="center"/>
    </xf>
    <xf numFmtId="0" fontId="0" fillId="7" borderId="19" xfId="0" applyFont="1" applyFill="1" applyBorder="1" applyAlignment="1">
      <alignment horizontal="left" vertical="center"/>
    </xf>
    <xf numFmtId="0" fontId="0" fillId="7" borderId="4" xfId="0" applyFont="1" applyFill="1" applyBorder="1" applyAlignment="1">
      <alignment horizontal="left" vertical="center"/>
    </xf>
    <xf numFmtId="0" fontId="0" fillId="39" borderId="56" xfId="0" applyFont="1" applyFill="1" applyBorder="1" applyAlignment="1">
      <alignment horizontal="left" vertical="center"/>
    </xf>
    <xf numFmtId="0" fontId="0" fillId="5" borderId="340" xfId="0" applyFont="1" applyFill="1" applyBorder="1" applyAlignment="1">
      <alignment horizontal="left" vertical="center"/>
    </xf>
    <xf numFmtId="0" fontId="0" fillId="5" borderId="341" xfId="0" applyFont="1" applyFill="1" applyBorder="1" applyAlignment="1">
      <alignment horizontal="left" vertical="center"/>
    </xf>
    <xf numFmtId="0" fontId="0" fillId="5" borderId="342" xfId="0" applyFont="1" applyFill="1" applyBorder="1" applyAlignment="1">
      <alignment horizontal="left" vertical="center"/>
    </xf>
    <xf numFmtId="0" fontId="0" fillId="5" borderId="343" xfId="0" applyFont="1" applyFill="1" applyBorder="1" applyAlignment="1">
      <alignment horizontal="left" vertical="center"/>
    </xf>
    <xf numFmtId="0" fontId="0" fillId="5" borderId="337" xfId="0" applyFont="1" applyFill="1" applyBorder="1" applyAlignment="1">
      <alignment horizontal="left" vertical="center"/>
    </xf>
    <xf numFmtId="0" fontId="0" fillId="5" borderId="336" xfId="0" applyFont="1" applyFill="1" applyBorder="1" applyAlignment="1">
      <alignment horizontal="left" vertical="center"/>
    </xf>
    <xf numFmtId="0" fontId="0" fillId="39" borderId="344" xfId="0" applyFont="1" applyFill="1" applyBorder="1" applyAlignment="1">
      <alignment horizontal="left" vertical="center"/>
    </xf>
    <xf numFmtId="0" fontId="0" fillId="39" borderId="345" xfId="0" applyFont="1" applyFill="1" applyBorder="1" applyAlignment="1">
      <alignment horizontal="left" vertical="center"/>
    </xf>
    <xf numFmtId="0" fontId="0" fillId="39" borderId="98" xfId="0" applyFont="1" applyFill="1" applyBorder="1" applyAlignment="1">
      <alignment horizontal="left" vertical="center"/>
    </xf>
    <xf numFmtId="0" fontId="0" fillId="39" borderId="99" xfId="0" applyFont="1" applyFill="1" applyBorder="1" applyAlignment="1">
      <alignment horizontal="left" vertical="center"/>
    </xf>
    <xf numFmtId="0" fontId="0" fillId="5" borderId="346" xfId="0" applyFont="1" applyFill="1" applyBorder="1" applyAlignment="1">
      <alignment horizontal="left" vertical="center"/>
    </xf>
    <xf numFmtId="0" fontId="0" fillId="39" borderId="347" xfId="0" applyFont="1" applyFill="1" applyBorder="1" applyAlignment="1">
      <alignment horizontal="left" vertical="center"/>
    </xf>
    <xf numFmtId="3" fontId="43" fillId="3" borderId="17" xfId="0" applyNumberFormat="1" applyFont="1" applyFill="1" applyBorder="1" applyAlignment="1">
      <alignment horizontal="left" vertical="center"/>
    </xf>
    <xf numFmtId="3" fontId="101" fillId="3" borderId="13" xfId="0" applyNumberFormat="1" applyFont="1" applyFill="1" applyBorder="1" applyAlignment="1">
      <alignment horizontal="left" vertical="center"/>
    </xf>
    <xf numFmtId="3" fontId="43" fillId="3" borderId="13" xfId="0" applyNumberFormat="1" applyFont="1" applyFill="1" applyBorder="1" applyAlignment="1">
      <alignment horizontal="left" vertical="center"/>
    </xf>
    <xf numFmtId="3" fontId="43" fillId="3" borderId="24" xfId="0" applyNumberFormat="1" applyFont="1" applyFill="1" applyBorder="1" applyAlignment="1">
      <alignment horizontal="left" vertical="center"/>
    </xf>
    <xf numFmtId="0" fontId="0" fillId="3" borderId="19" xfId="0" applyFont="1" applyFill="1" applyBorder="1" applyAlignment="1">
      <alignment horizontal="left" vertical="center"/>
    </xf>
    <xf numFmtId="0" fontId="0" fillId="3" borderId="20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vertical="center"/>
    </xf>
    <xf numFmtId="0" fontId="0" fillId="5" borderId="317" xfId="0" applyFont="1" applyFill="1" applyBorder="1" applyAlignment="1">
      <alignment horizontal="left" vertical="center"/>
    </xf>
    <xf numFmtId="0" fontId="20" fillId="11" borderId="349" xfId="0" applyFont="1" applyFill="1" applyBorder="1" applyAlignment="1">
      <alignment vertical="center"/>
    </xf>
    <xf numFmtId="0" fontId="20" fillId="11" borderId="279" xfId="0" applyFont="1" applyFill="1" applyBorder="1" applyAlignment="1">
      <alignment vertical="center"/>
    </xf>
    <xf numFmtId="0" fontId="24" fillId="11" borderId="279" xfId="0" applyFont="1" applyFill="1" applyBorder="1" applyAlignment="1">
      <alignment horizontal="left" vertical="center"/>
    </xf>
    <xf numFmtId="0" fontId="20" fillId="11" borderId="350" xfId="0" applyFont="1" applyFill="1" applyBorder="1" applyAlignment="1">
      <alignment vertical="center"/>
    </xf>
    <xf numFmtId="4" fontId="42" fillId="5" borderId="17" xfId="0" applyNumberFormat="1" applyFont="1" applyFill="1" applyBorder="1" applyAlignment="1">
      <alignment horizontal="left" vertical="center"/>
    </xf>
    <xf numFmtId="170" fontId="42" fillId="5" borderId="17" xfId="0" applyNumberFormat="1" applyFont="1" applyFill="1" applyBorder="1" applyAlignment="1">
      <alignment horizontal="left" vertical="center"/>
    </xf>
    <xf numFmtId="3" fontId="42" fillId="5" borderId="17" xfId="0" applyNumberFormat="1" applyFont="1" applyFill="1" applyBorder="1" applyAlignment="1">
      <alignment horizontal="left" vertical="center"/>
    </xf>
    <xf numFmtId="0" fontId="0" fillId="5" borderId="55" xfId="0" applyFont="1" applyFill="1" applyBorder="1" applyAlignment="1">
      <alignment horizontal="left" vertical="center"/>
    </xf>
    <xf numFmtId="0" fontId="95" fillId="5" borderId="17" xfId="0" applyFont="1" applyFill="1" applyBorder="1" applyAlignment="1">
      <alignment horizontal="center" vertical="center"/>
    </xf>
    <xf numFmtId="0" fontId="95" fillId="5" borderId="17" xfId="0" applyFont="1" applyFill="1" applyBorder="1" applyAlignment="1">
      <alignment horizontal="right" vertical="center"/>
    </xf>
    <xf numFmtId="0" fontId="20" fillId="0" borderId="17" xfId="0" applyFont="1" applyBorder="1" applyAlignment="1">
      <alignment vertical="center"/>
    </xf>
    <xf numFmtId="0" fontId="0" fillId="3" borderId="63" xfId="0" applyFont="1" applyFill="1" applyBorder="1" applyAlignment="1">
      <alignment horizontal="left" vertical="center"/>
    </xf>
    <xf numFmtId="0" fontId="20" fillId="3" borderId="64" xfId="0" applyFont="1" applyFill="1" applyBorder="1" applyAlignment="1">
      <alignment vertical="center"/>
    </xf>
    <xf numFmtId="0" fontId="0" fillId="5" borderId="37" xfId="0" applyFont="1" applyFill="1" applyBorder="1" applyAlignment="1">
      <alignment horizontal="left" vertical="center"/>
    </xf>
    <xf numFmtId="3" fontId="0" fillId="5" borderId="33" xfId="0" applyNumberFormat="1" applyFont="1" applyFill="1" applyBorder="1" applyAlignment="1">
      <alignment horizontal="center" vertical="center"/>
    </xf>
    <xf numFmtId="0" fontId="0" fillId="5" borderId="65" xfId="0" applyFont="1" applyFill="1" applyBorder="1" applyAlignment="1">
      <alignment horizontal="center" vertical="center"/>
    </xf>
    <xf numFmtId="0" fontId="20" fillId="5" borderId="0" xfId="0" applyFont="1" applyFill="1"/>
    <xf numFmtId="167" fontId="49" fillId="5" borderId="0" xfId="0" applyNumberFormat="1" applyFont="1" applyFill="1" applyAlignment="1">
      <alignment vertical="center"/>
    </xf>
    <xf numFmtId="3" fontId="32" fillId="6" borderId="16" xfId="0" applyNumberFormat="1" applyFont="1" applyFill="1" applyBorder="1" applyAlignment="1">
      <alignment horizontal="center" vertical="center"/>
    </xf>
    <xf numFmtId="2" fontId="0" fillId="6" borderId="16" xfId="0" applyNumberFormat="1" applyFont="1" applyFill="1" applyBorder="1" applyAlignment="1">
      <alignment horizontal="left" vertical="center"/>
    </xf>
    <xf numFmtId="2" fontId="0" fillId="6" borderId="16" xfId="0" applyNumberFormat="1" applyFont="1" applyFill="1" applyBorder="1" applyAlignment="1">
      <alignment horizontal="center" vertical="center"/>
    </xf>
    <xf numFmtId="167" fontId="0" fillId="6" borderId="16" xfId="0" applyNumberFormat="1" applyFont="1" applyFill="1" applyBorder="1" applyAlignment="1">
      <alignment horizontal="center" vertical="center"/>
    </xf>
    <xf numFmtId="165" fontId="0" fillId="6" borderId="16" xfId="0" applyNumberFormat="1" applyFont="1" applyFill="1" applyBorder="1" applyAlignment="1">
      <alignment horizontal="center" vertical="center"/>
    </xf>
    <xf numFmtId="3" fontId="32" fillId="6" borderId="60" xfId="0" applyNumberFormat="1" applyFont="1" applyFill="1" applyBorder="1" applyAlignment="1">
      <alignment horizontal="center" vertical="center"/>
    </xf>
    <xf numFmtId="3" fontId="32" fillId="6" borderId="49" xfId="0" applyNumberFormat="1" applyFont="1" applyFill="1" applyBorder="1" applyAlignment="1">
      <alignment horizontal="center" vertical="center"/>
    </xf>
    <xf numFmtId="165" fontId="20" fillId="6" borderId="49" xfId="0" applyNumberFormat="1" applyFont="1" applyFill="1" applyBorder="1" applyAlignment="1">
      <alignment horizontal="center" vertical="center"/>
    </xf>
    <xf numFmtId="166" fontId="0" fillId="5" borderId="33" xfId="0" applyNumberFormat="1" applyFont="1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166" fontId="23" fillId="5" borderId="40" xfId="37" applyNumberFormat="1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166" fontId="0" fillId="6" borderId="20" xfId="0" applyNumberFormat="1" applyFont="1" applyFill="1" applyBorder="1" applyAlignment="1">
      <alignment horizontal="center" vertical="center"/>
    </xf>
    <xf numFmtId="165" fontId="0" fillId="6" borderId="20" xfId="0" applyNumberFormat="1" applyFont="1" applyFill="1" applyBorder="1" applyAlignment="1">
      <alignment horizontal="center" vertical="center"/>
    </xf>
    <xf numFmtId="0" fontId="24" fillId="6" borderId="20" xfId="0" applyFont="1" applyFill="1" applyBorder="1" applyAlignment="1">
      <alignment horizontal="center" vertical="center"/>
    </xf>
    <xf numFmtId="3" fontId="0" fillId="6" borderId="20" xfId="0" applyNumberFormat="1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3" fontId="0" fillId="6" borderId="4" xfId="0" applyNumberFormat="1" applyFont="1" applyFill="1" applyBorder="1" applyAlignment="1">
      <alignment horizontal="center" vertical="center"/>
    </xf>
    <xf numFmtId="3" fontId="34" fillId="3" borderId="86" xfId="0" applyNumberFormat="1" applyFont="1" applyFill="1" applyBorder="1" applyAlignment="1">
      <alignment horizontal="left" vertical="center" indent="1"/>
    </xf>
    <xf numFmtId="0" fontId="20" fillId="6" borderId="20" xfId="0" applyFont="1" applyFill="1" applyBorder="1" applyAlignment="1">
      <alignment horizontal="center" vertical="center"/>
    </xf>
    <xf numFmtId="166" fontId="23" fillId="6" borderId="20" xfId="38" applyNumberFormat="1" applyFont="1" applyFill="1" applyBorder="1" applyAlignment="1">
      <alignment horizontal="center" vertical="center"/>
    </xf>
    <xf numFmtId="166" fontId="23" fillId="6" borderId="4" xfId="38" applyNumberFormat="1" applyFont="1" applyFill="1" applyBorder="1" applyAlignment="1">
      <alignment horizontal="center" vertical="center"/>
    </xf>
    <xf numFmtId="3" fontId="33" fillId="3" borderId="86" xfId="0" applyNumberFormat="1" applyFont="1" applyFill="1" applyBorder="1" applyAlignment="1">
      <alignment horizontal="center" vertical="center"/>
    </xf>
    <xf numFmtId="3" fontId="34" fillId="3" borderId="86" xfId="0" applyNumberFormat="1" applyFont="1" applyFill="1" applyBorder="1" applyAlignment="1">
      <alignment horizontal="center" vertical="center"/>
    </xf>
    <xf numFmtId="3" fontId="20" fillId="6" borderId="20" xfId="0" applyNumberFormat="1" applyFont="1" applyFill="1" applyBorder="1" applyAlignment="1">
      <alignment horizontal="center" vertical="center"/>
    </xf>
    <xf numFmtId="2" fontId="20" fillId="6" borderId="20" xfId="0" applyNumberFormat="1" applyFont="1" applyFill="1" applyBorder="1" applyAlignment="1">
      <alignment horizontal="center" vertical="center"/>
    </xf>
    <xf numFmtId="167" fontId="20" fillId="6" borderId="20" xfId="0" applyNumberFormat="1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 vertical="center"/>
    </xf>
    <xf numFmtId="2" fontId="49" fillId="5" borderId="0" xfId="0" applyNumberFormat="1" applyFont="1" applyFill="1" applyAlignment="1">
      <alignment vertical="center"/>
    </xf>
    <xf numFmtId="3" fontId="32" fillId="6" borderId="61" xfId="0" applyNumberFormat="1" applyFont="1" applyFill="1" applyBorder="1" applyAlignment="1">
      <alignment horizontal="center" vertical="center"/>
    </xf>
    <xf numFmtId="167" fontId="0" fillId="5" borderId="15" xfId="0" applyNumberFormat="1" applyFont="1" applyFill="1" applyBorder="1" applyAlignment="1">
      <alignment horizontal="center" vertical="center"/>
    </xf>
    <xf numFmtId="166" fontId="0" fillId="6" borderId="16" xfId="0" applyNumberFormat="1" applyFont="1" applyFill="1" applyBorder="1" applyAlignment="1">
      <alignment horizontal="center" vertical="center"/>
    </xf>
    <xf numFmtId="166" fontId="49" fillId="5" borderId="0" xfId="0" applyNumberFormat="1" applyFont="1" applyFill="1" applyAlignment="1">
      <alignment vertical="center"/>
    </xf>
    <xf numFmtId="166" fontId="20" fillId="6" borderId="20" xfId="0" applyNumberFormat="1" applyFont="1" applyFill="1" applyBorder="1" applyAlignment="1">
      <alignment horizontal="center" vertical="center"/>
    </xf>
    <xf numFmtId="3" fontId="34" fillId="3" borderId="1" xfId="0" applyNumberFormat="1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left" vertical="center" indent="1"/>
    </xf>
    <xf numFmtId="0" fontId="26" fillId="5" borderId="43" xfId="0" applyFont="1" applyFill="1" applyBorder="1" applyAlignment="1">
      <alignment horizontal="left" vertical="center" indent="1"/>
    </xf>
    <xf numFmtId="3" fontId="0" fillId="5" borderId="40" xfId="0" applyNumberFormat="1" applyFont="1" applyFill="1" applyBorder="1" applyAlignment="1">
      <alignment horizontal="center" vertical="center"/>
    </xf>
    <xf numFmtId="0" fontId="32" fillId="6" borderId="65" xfId="0" applyFont="1" applyFill="1" applyBorder="1" applyAlignment="1">
      <alignment horizontal="center" vertical="center"/>
    </xf>
    <xf numFmtId="3" fontId="20" fillId="6" borderId="283" xfId="0" applyNumberFormat="1" applyFont="1" applyFill="1" applyBorder="1" applyAlignment="1">
      <alignment horizontal="center" vertical="center"/>
    </xf>
    <xf numFmtId="2" fontId="20" fillId="6" borderId="283" xfId="0" applyNumberFormat="1" applyFont="1" applyFill="1" applyBorder="1" applyAlignment="1">
      <alignment horizontal="left" vertical="center"/>
    </xf>
    <xf numFmtId="2" fontId="20" fillId="6" borderId="283" xfId="0" applyNumberFormat="1" applyFont="1" applyFill="1" applyBorder="1" applyAlignment="1">
      <alignment horizontal="center" vertical="center"/>
    </xf>
    <xf numFmtId="167" fontId="20" fillId="6" borderId="283" xfId="0" applyNumberFormat="1" applyFont="1" applyFill="1" applyBorder="1" applyAlignment="1">
      <alignment horizontal="center" vertical="center"/>
    </xf>
    <xf numFmtId="0" fontId="20" fillId="6" borderId="283" xfId="0" applyFont="1" applyFill="1" applyBorder="1" applyAlignment="1">
      <alignment horizontal="center" vertical="center"/>
    </xf>
    <xf numFmtId="166" fontId="20" fillId="6" borderId="283" xfId="0" applyNumberFormat="1" applyFont="1" applyFill="1" applyBorder="1" applyAlignment="1">
      <alignment horizontal="center" vertical="center"/>
    </xf>
    <xf numFmtId="0" fontId="20" fillId="6" borderId="284" xfId="0" applyFont="1" applyFill="1" applyBorder="1" applyAlignment="1">
      <alignment horizontal="center" vertical="center"/>
    </xf>
    <xf numFmtId="1" fontId="34" fillId="3" borderId="376" xfId="0" applyNumberFormat="1" applyFont="1" applyFill="1" applyBorder="1" applyAlignment="1">
      <alignment horizontal="center" vertical="center"/>
    </xf>
    <xf numFmtId="2" fontId="103" fillId="3" borderId="376" xfId="38" applyNumberFormat="1" applyFont="1" applyFill="1" applyBorder="1" applyAlignment="1">
      <alignment horizontal="center" vertical="center"/>
    </xf>
    <xf numFmtId="0" fontId="0" fillId="6" borderId="282" xfId="0" applyFont="1" applyFill="1" applyBorder="1" applyAlignment="1">
      <alignment horizontal="center" vertical="center"/>
    </xf>
    <xf numFmtId="166" fontId="0" fillId="6" borderId="283" xfId="0" applyNumberFormat="1" applyFont="1" applyFill="1" applyBorder="1" applyAlignment="1">
      <alignment horizontal="center" vertical="center"/>
    </xf>
    <xf numFmtId="3" fontId="0" fillId="6" borderId="283" xfId="0" applyNumberFormat="1" applyFont="1" applyFill="1" applyBorder="1" applyAlignment="1">
      <alignment horizontal="center" vertical="center"/>
    </xf>
    <xf numFmtId="0" fontId="0" fillId="6" borderId="283" xfId="0" applyFont="1" applyFill="1" applyBorder="1" applyAlignment="1">
      <alignment horizontal="center" vertical="center"/>
    </xf>
    <xf numFmtId="165" fontId="0" fillId="6" borderId="283" xfId="0" applyNumberFormat="1" applyFont="1" applyFill="1" applyBorder="1" applyAlignment="1">
      <alignment horizontal="center" vertical="center"/>
    </xf>
    <xf numFmtId="3" fontId="0" fillId="6" borderId="284" xfId="0" applyNumberFormat="1" applyFont="1" applyFill="1" applyBorder="1" applyAlignment="1">
      <alignment horizontal="center" vertical="center"/>
    </xf>
    <xf numFmtId="173" fontId="49" fillId="5" borderId="0" xfId="0" applyNumberFormat="1" applyFont="1" applyFill="1" applyAlignment="1">
      <alignment horizontal="center" vertical="center"/>
    </xf>
    <xf numFmtId="0" fontId="49" fillId="5" borderId="0" xfId="0" applyFont="1" applyFill="1" applyAlignment="1">
      <alignment vertical="center"/>
    </xf>
    <xf numFmtId="0" fontId="49" fillId="5" borderId="0" xfId="0" applyFont="1" applyFill="1" applyBorder="1" applyAlignment="1">
      <alignment vertical="center"/>
    </xf>
    <xf numFmtId="3" fontId="34" fillId="3" borderId="1" xfId="0" applyNumberFormat="1" applyFont="1" applyFill="1" applyBorder="1" applyAlignment="1">
      <alignment horizontal="left" vertical="center" indent="1"/>
    </xf>
    <xf numFmtId="0" fontId="20" fillId="5" borderId="0" xfId="0" applyFont="1" applyFill="1" applyAlignment="1">
      <alignment horizontal="left" vertical="center" indent="1"/>
    </xf>
    <xf numFmtId="167" fontId="21" fillId="5" borderId="20" xfId="0" applyNumberFormat="1" applyFont="1" applyFill="1" applyBorder="1" applyAlignment="1">
      <alignment horizontal="center" vertical="center"/>
    </xf>
    <xf numFmtId="0" fontId="31" fillId="5" borderId="22" xfId="0" applyFont="1" applyFill="1" applyBorder="1" applyAlignment="1">
      <alignment horizontal="center" vertical="center"/>
    </xf>
    <xf numFmtId="2" fontId="21" fillId="5" borderId="22" xfId="0" applyNumberFormat="1" applyFont="1" applyFill="1" applyBorder="1" applyAlignment="1">
      <alignment horizontal="left" vertical="center" indent="1"/>
    </xf>
    <xf numFmtId="2" fontId="21" fillId="5" borderId="22" xfId="0" applyNumberFormat="1" applyFont="1" applyFill="1" applyBorder="1" applyAlignment="1">
      <alignment horizontal="center" vertical="center"/>
    </xf>
    <xf numFmtId="167" fontId="21" fillId="5" borderId="378" xfId="0" applyNumberFormat="1" applyFont="1" applyFill="1" applyBorder="1" applyAlignment="1">
      <alignment horizontal="left" vertical="center" indent="1"/>
    </xf>
    <xf numFmtId="167" fontId="105" fillId="5" borderId="87" xfId="0" applyNumberFormat="1" applyFont="1" applyFill="1" applyBorder="1" applyAlignment="1">
      <alignment horizontal="center" vertical="center"/>
    </xf>
    <xf numFmtId="167" fontId="105" fillId="5" borderId="379" xfId="0" applyNumberFormat="1" applyFont="1" applyFill="1" applyBorder="1" applyAlignment="1">
      <alignment horizontal="center" vertical="center"/>
    </xf>
    <xf numFmtId="2" fontId="25" fillId="5" borderId="22" xfId="37" applyNumberFormat="1" applyFont="1" applyFill="1" applyBorder="1" applyAlignment="1">
      <alignment horizontal="left" vertical="center" indent="1"/>
    </xf>
    <xf numFmtId="2" fontId="25" fillId="5" borderId="22" xfId="37" applyNumberFormat="1" applyFont="1" applyFill="1" applyBorder="1" applyAlignment="1">
      <alignment horizontal="center" vertical="center"/>
    </xf>
    <xf numFmtId="167" fontId="21" fillId="5" borderId="22" xfId="0" applyNumberFormat="1" applyFont="1" applyFill="1" applyBorder="1" applyAlignment="1">
      <alignment horizontal="center" vertical="center"/>
    </xf>
    <xf numFmtId="0" fontId="31" fillId="5" borderId="381" xfId="0" applyFont="1" applyFill="1" applyBorder="1" applyAlignment="1">
      <alignment horizontal="center" vertical="center"/>
    </xf>
    <xf numFmtId="3" fontId="33" fillId="3" borderId="156" xfId="0" applyNumberFormat="1" applyFont="1" applyFill="1" applyBorder="1" applyAlignment="1">
      <alignment horizontal="center" vertical="center"/>
    </xf>
    <xf numFmtId="3" fontId="34" fillId="3" borderId="156" xfId="0" applyNumberFormat="1" applyFont="1" applyFill="1" applyBorder="1" applyAlignment="1">
      <alignment horizontal="center" vertical="center"/>
    </xf>
    <xf numFmtId="2" fontId="21" fillId="5" borderId="381" xfId="0" applyNumberFormat="1" applyFont="1" applyFill="1" applyBorder="1" applyAlignment="1">
      <alignment horizontal="left" vertical="center" indent="1"/>
    </xf>
    <xf numFmtId="2" fontId="21" fillId="5" borderId="381" xfId="0" applyNumberFormat="1" applyFont="1" applyFill="1" applyBorder="1" applyAlignment="1">
      <alignment horizontal="center" vertical="center"/>
    </xf>
    <xf numFmtId="3" fontId="34" fillId="3" borderId="156" xfId="0" applyNumberFormat="1" applyFont="1" applyFill="1" applyBorder="1" applyAlignment="1">
      <alignment horizontal="left" vertical="center" indent="1"/>
    </xf>
    <xf numFmtId="167" fontId="105" fillId="5" borderId="248" xfId="0" applyNumberFormat="1" applyFont="1" applyFill="1" applyBorder="1" applyAlignment="1">
      <alignment horizontal="center" vertical="center"/>
    </xf>
    <xf numFmtId="167" fontId="105" fillId="5" borderId="382" xfId="0" applyNumberFormat="1" applyFont="1" applyFill="1" applyBorder="1" applyAlignment="1">
      <alignment horizontal="center" vertical="center"/>
    </xf>
    <xf numFmtId="2" fontId="25" fillId="5" borderId="381" xfId="37" applyNumberFormat="1" applyFont="1" applyFill="1" applyBorder="1" applyAlignment="1">
      <alignment horizontal="left" vertical="center" indent="1"/>
    </xf>
    <xf numFmtId="2" fontId="25" fillId="5" borderId="381" xfId="37" applyNumberFormat="1" applyFont="1" applyFill="1" applyBorder="1" applyAlignment="1">
      <alignment horizontal="center" vertical="center"/>
    </xf>
    <xf numFmtId="167" fontId="21" fillId="5" borderId="381" xfId="0" applyNumberFormat="1" applyFont="1" applyFill="1" applyBorder="1" applyAlignment="1">
      <alignment horizontal="center" vertical="center"/>
    </xf>
    <xf numFmtId="1" fontId="34" fillId="3" borderId="383" xfId="0" applyNumberFormat="1" applyFont="1" applyFill="1" applyBorder="1" applyAlignment="1">
      <alignment horizontal="center" vertical="center"/>
    </xf>
    <xf numFmtId="167" fontId="105" fillId="5" borderId="97" xfId="0" applyNumberFormat="1" applyFont="1" applyFill="1" applyBorder="1" applyAlignment="1">
      <alignment horizontal="center" vertical="center"/>
    </xf>
    <xf numFmtId="167" fontId="105" fillId="5" borderId="98" xfId="0" applyNumberFormat="1" applyFont="1" applyFill="1" applyBorder="1" applyAlignment="1">
      <alignment horizontal="center" vertical="center"/>
    </xf>
    <xf numFmtId="3" fontId="104" fillId="3" borderId="156" xfId="0" applyNumberFormat="1" applyFont="1" applyFill="1" applyBorder="1" applyAlignment="1">
      <alignment vertical="center"/>
    </xf>
    <xf numFmtId="0" fontId="32" fillId="5" borderId="33" xfId="0" applyFont="1" applyFill="1" applyBorder="1" applyAlignment="1">
      <alignment horizontal="center" vertical="center"/>
    </xf>
    <xf numFmtId="3" fontId="20" fillId="5" borderId="0" xfId="0" applyNumberFormat="1" applyFont="1" applyFill="1" applyAlignment="1">
      <alignment horizontal="center" vertical="center"/>
    </xf>
    <xf numFmtId="3" fontId="49" fillId="5" borderId="0" xfId="0" applyNumberFormat="1" applyFont="1" applyFill="1" applyAlignment="1">
      <alignment vertical="center"/>
    </xf>
    <xf numFmtId="3" fontId="49" fillId="5" borderId="0" xfId="0" applyNumberFormat="1" applyFont="1" applyFill="1" applyAlignment="1">
      <alignment horizontal="center" vertical="center"/>
    </xf>
    <xf numFmtId="3" fontId="32" fillId="6" borderId="283" xfId="0" applyNumberFormat="1" applyFont="1" applyFill="1" applyBorder="1" applyAlignment="1">
      <alignment horizontal="center" vertical="center"/>
    </xf>
    <xf numFmtId="3" fontId="20" fillId="6" borderId="284" xfId="0" applyNumberFormat="1" applyFont="1" applyFill="1" applyBorder="1" applyAlignment="1">
      <alignment horizontal="center" vertical="center"/>
    </xf>
    <xf numFmtId="3" fontId="32" fillId="5" borderId="24" xfId="0" applyNumberFormat="1" applyFont="1" applyFill="1" applyBorder="1" applyAlignment="1">
      <alignment horizontal="center" vertical="center"/>
    </xf>
    <xf numFmtId="3" fontId="32" fillId="5" borderId="4" xfId="0" applyNumberFormat="1" applyFont="1" applyFill="1" applyBorder="1" applyAlignment="1">
      <alignment horizontal="center" vertical="center"/>
    </xf>
    <xf numFmtId="3" fontId="20" fillId="6" borderId="4" xfId="0" applyNumberFormat="1" applyFont="1" applyFill="1" applyBorder="1" applyAlignment="1">
      <alignment horizontal="center" vertical="center"/>
    </xf>
    <xf numFmtId="3" fontId="32" fillId="5" borderId="40" xfId="0" applyNumberFormat="1" applyFont="1" applyFill="1" applyBorder="1" applyAlignment="1">
      <alignment horizontal="center" vertical="center"/>
    </xf>
    <xf numFmtId="3" fontId="31" fillId="5" borderId="248" xfId="0" applyNumberFormat="1" applyFont="1" applyFill="1" applyBorder="1" applyAlignment="1">
      <alignment horizontal="center" vertical="center"/>
    </xf>
    <xf numFmtId="3" fontId="33" fillId="3" borderId="248" xfId="0" applyNumberFormat="1" applyFont="1" applyFill="1" applyBorder="1" applyAlignment="1">
      <alignment horizontal="center" vertical="center"/>
    </xf>
    <xf numFmtId="3" fontId="33" fillId="3" borderId="249" xfId="0" applyNumberFormat="1" applyFont="1" applyFill="1" applyBorder="1" applyAlignment="1">
      <alignment horizontal="center" vertical="center"/>
    </xf>
    <xf numFmtId="3" fontId="27" fillId="5" borderId="0" xfId="0" applyNumberFormat="1" applyFont="1" applyFill="1" applyAlignment="1">
      <alignment horizontal="left" vertical="center" indent="1"/>
    </xf>
    <xf numFmtId="2" fontId="27" fillId="5" borderId="0" xfId="0" applyNumberFormat="1" applyFont="1" applyFill="1" applyBorder="1" applyAlignment="1">
      <alignment horizontal="left" vertical="center"/>
    </xf>
    <xf numFmtId="3" fontId="15" fillId="5" borderId="32" xfId="0" applyNumberFormat="1" applyFont="1" applyFill="1" applyBorder="1" applyAlignment="1">
      <alignment horizontal="center" vertical="center"/>
    </xf>
    <xf numFmtId="165" fontId="0" fillId="5" borderId="33" xfId="0" applyNumberFormat="1" applyFont="1" applyFill="1" applyBorder="1" applyAlignment="1">
      <alignment horizontal="center" vertical="center"/>
    </xf>
    <xf numFmtId="0" fontId="0" fillId="0" borderId="380" xfId="0" applyFont="1" applyBorder="1" applyAlignment="1">
      <alignment horizontal="left" vertical="center" indent="1"/>
    </xf>
    <xf numFmtId="0" fontId="0" fillId="5" borderId="381" xfId="0" applyFont="1" applyFill="1" applyBorder="1" applyAlignment="1">
      <alignment vertical="center"/>
    </xf>
    <xf numFmtId="165" fontId="103" fillId="3" borderId="156" xfId="37" applyNumberFormat="1" applyFont="1" applyFill="1" applyBorder="1" applyAlignment="1">
      <alignment horizontal="center" vertical="center"/>
    </xf>
    <xf numFmtId="3" fontId="0" fillId="5" borderId="381" xfId="0" applyNumberFormat="1" applyFont="1" applyFill="1" applyBorder="1" applyAlignment="1">
      <alignment horizontal="left" vertical="center" indent="1"/>
    </xf>
    <xf numFmtId="166" fontId="0" fillId="5" borderId="381" xfId="0" applyNumberFormat="1" applyFont="1" applyFill="1" applyBorder="1" applyAlignment="1">
      <alignment horizontal="center" vertical="center"/>
    </xf>
    <xf numFmtId="168" fontId="33" fillId="3" borderId="156" xfId="0" applyNumberFormat="1" applyFont="1" applyFill="1" applyBorder="1" applyAlignment="1">
      <alignment horizontal="center" vertical="center"/>
    </xf>
    <xf numFmtId="165" fontId="0" fillId="5" borderId="381" xfId="0" applyNumberFormat="1" applyFont="1" applyFill="1" applyBorder="1" applyAlignment="1">
      <alignment horizontal="center" vertical="center"/>
    </xf>
    <xf numFmtId="3" fontId="0" fillId="5" borderId="381" xfId="0" applyNumberFormat="1" applyFont="1" applyFill="1" applyBorder="1" applyAlignment="1">
      <alignment vertical="center"/>
    </xf>
    <xf numFmtId="3" fontId="0" fillId="3" borderId="383" xfId="0" applyNumberFormat="1" applyFont="1" applyFill="1" applyBorder="1" applyAlignment="1">
      <alignment horizontal="center" vertical="center"/>
    </xf>
    <xf numFmtId="166" fontId="0" fillId="3" borderId="284" xfId="0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indent="1"/>
    </xf>
    <xf numFmtId="3" fontId="20" fillId="5" borderId="65" xfId="0" applyNumberFormat="1" applyFont="1" applyFill="1" applyBorder="1" applyAlignment="1">
      <alignment vertical="center"/>
    </xf>
    <xf numFmtId="3" fontId="20" fillId="5" borderId="163" xfId="0" applyNumberFormat="1" applyFont="1" applyFill="1" applyBorder="1" applyAlignment="1">
      <alignment horizontal="center" vertical="center"/>
    </xf>
    <xf numFmtId="167" fontId="35" fillId="5" borderId="291" xfId="0" applyNumberFormat="1" applyFont="1" applyFill="1" applyBorder="1" applyAlignment="1">
      <alignment horizontal="center" vertical="center"/>
    </xf>
    <xf numFmtId="166" fontId="27" fillId="3" borderId="156" xfId="0" applyNumberFormat="1" applyFont="1" applyFill="1" applyBorder="1" applyAlignment="1">
      <alignment horizontal="center" vertical="center"/>
    </xf>
    <xf numFmtId="167" fontId="36" fillId="0" borderId="65" xfId="0" applyNumberFormat="1" applyFont="1" applyBorder="1" applyAlignment="1">
      <alignment horizontal="center" vertical="center"/>
    </xf>
    <xf numFmtId="3" fontId="27" fillId="3" borderId="156" xfId="0" applyNumberFormat="1" applyFont="1" applyFill="1" applyBorder="1" applyAlignment="1">
      <alignment horizontal="center" vertical="center"/>
    </xf>
    <xf numFmtId="167" fontId="35" fillId="5" borderId="65" xfId="0" applyNumberFormat="1" applyFont="1" applyFill="1" applyBorder="1" applyAlignment="1">
      <alignment horizontal="center" vertical="center"/>
    </xf>
    <xf numFmtId="0" fontId="27" fillId="3" borderId="156" xfId="0" applyFont="1" applyFill="1" applyBorder="1" applyAlignment="1">
      <alignment horizontal="center" vertical="center"/>
    </xf>
    <xf numFmtId="3" fontId="35" fillId="5" borderId="9" xfId="0" applyNumberFormat="1" applyFont="1" applyFill="1" applyBorder="1" applyAlignment="1">
      <alignment horizontal="center" vertical="center"/>
    </xf>
    <xf numFmtId="165" fontId="36" fillId="5" borderId="163" xfId="0" applyNumberFormat="1" applyFont="1" applyFill="1" applyBorder="1" applyAlignment="1">
      <alignment horizontal="center" vertical="center"/>
    </xf>
    <xf numFmtId="2" fontId="27" fillId="3" borderId="10" xfId="0" applyNumberFormat="1" applyFont="1" applyFill="1" applyBorder="1" applyAlignment="1">
      <alignment horizontal="center" vertical="center"/>
    </xf>
    <xf numFmtId="3" fontId="35" fillId="0" borderId="163" xfId="0" applyNumberFormat="1" applyFont="1" applyBorder="1" applyAlignment="1">
      <alignment horizontal="center" vertical="center"/>
    </xf>
    <xf numFmtId="0" fontId="27" fillId="5" borderId="163" xfId="0" applyFont="1" applyFill="1" applyBorder="1" applyAlignment="1">
      <alignment horizontal="center" vertical="center"/>
    </xf>
    <xf numFmtId="4" fontId="27" fillId="3" borderId="11" xfId="0" applyNumberFormat="1" applyFont="1" applyFill="1" applyBorder="1" applyAlignment="1">
      <alignment horizontal="center" vertical="center"/>
    </xf>
    <xf numFmtId="166" fontId="23" fillId="5" borderId="381" xfId="38" applyNumberFormat="1" applyFont="1" applyFill="1" applyBorder="1" applyAlignment="1">
      <alignment horizontal="center" vertical="center"/>
    </xf>
    <xf numFmtId="0" fontId="0" fillId="5" borderId="381" xfId="0" applyFont="1" applyFill="1" applyBorder="1" applyAlignment="1">
      <alignment horizontal="right" vertical="center"/>
    </xf>
    <xf numFmtId="167" fontId="49" fillId="5" borderId="0" xfId="0" applyNumberFormat="1" applyFont="1" applyFill="1" applyBorder="1" applyAlignment="1">
      <alignment horizontal="center" vertical="center"/>
    </xf>
    <xf numFmtId="167" fontId="0" fillId="5" borderId="75" xfId="0" applyNumberFormat="1" applyFont="1" applyFill="1" applyBorder="1" applyAlignment="1">
      <alignment horizontal="center" vertical="center"/>
    </xf>
    <xf numFmtId="167" fontId="0" fillId="5" borderId="285" xfId="0" applyNumberFormat="1" applyFont="1" applyFill="1" applyBorder="1" applyAlignment="1">
      <alignment horizontal="left" vertical="center"/>
    </xf>
    <xf numFmtId="3" fontId="0" fillId="5" borderId="286" xfId="0" applyNumberFormat="1" applyFont="1" applyFill="1" applyBorder="1" applyAlignment="1">
      <alignment horizontal="center" vertical="center"/>
    </xf>
    <xf numFmtId="3" fontId="0" fillId="5" borderId="38" xfId="0" applyNumberFormat="1" applyFont="1" applyFill="1" applyBorder="1" applyAlignment="1">
      <alignment horizontal="center" vertical="center"/>
    </xf>
    <xf numFmtId="166" fontId="0" fillId="3" borderId="209" xfId="0" applyNumberFormat="1" applyFont="1" applyFill="1" applyBorder="1" applyAlignment="1">
      <alignment horizontal="center" vertical="center"/>
    </xf>
    <xf numFmtId="166" fontId="0" fillId="3" borderId="384" xfId="0" applyNumberFormat="1" applyFont="1" applyFill="1" applyBorder="1" applyAlignment="1">
      <alignment horizontal="center" vertical="center"/>
    </xf>
    <xf numFmtId="3" fontId="20" fillId="5" borderId="88" xfId="0" applyNumberFormat="1" applyFont="1" applyFill="1" applyBorder="1" applyAlignment="1">
      <alignment horizontal="center" vertical="center"/>
    </xf>
    <xf numFmtId="3" fontId="32" fillId="5" borderId="89" xfId="0" applyNumberFormat="1" applyFont="1" applyFill="1" applyBorder="1" applyAlignment="1">
      <alignment horizontal="center" vertical="center"/>
    </xf>
    <xf numFmtId="3" fontId="32" fillId="5" borderId="90" xfId="0" applyNumberFormat="1" applyFont="1" applyFill="1" applyBorder="1" applyAlignment="1">
      <alignment horizontal="center" vertical="center"/>
    </xf>
    <xf numFmtId="3" fontId="33" fillId="3" borderId="383" xfId="0" applyNumberFormat="1" applyFont="1" applyFill="1" applyBorder="1" applyAlignment="1">
      <alignment horizontal="center" vertical="center"/>
    </xf>
    <xf numFmtId="3" fontId="20" fillId="5" borderId="90" xfId="0" applyNumberFormat="1" applyFont="1" applyFill="1" applyBorder="1" applyAlignment="1">
      <alignment horizontal="center" vertical="center"/>
    </xf>
    <xf numFmtId="4" fontId="27" fillId="3" borderId="10" xfId="0" applyNumberFormat="1" applyFont="1" applyFill="1" applyBorder="1" applyAlignment="1">
      <alignment horizontal="center" vertical="center"/>
    </xf>
    <xf numFmtId="167" fontId="49" fillId="5" borderId="0" xfId="0" applyNumberFormat="1" applyFont="1" applyFill="1" applyBorder="1" applyAlignment="1">
      <alignment vertical="center"/>
    </xf>
    <xf numFmtId="167" fontId="49" fillId="5" borderId="0" xfId="0" applyNumberFormat="1" applyFont="1" applyFill="1" applyBorder="1" applyAlignment="1">
      <alignment horizontal="left" vertical="center"/>
    </xf>
    <xf numFmtId="3" fontId="49" fillId="5" borderId="0" xfId="0" applyNumberFormat="1" applyFont="1" applyFill="1" applyBorder="1" applyAlignment="1">
      <alignment horizontal="center" vertical="center"/>
    </xf>
    <xf numFmtId="168" fontId="49" fillId="5" borderId="0" xfId="0" applyNumberFormat="1" applyFont="1" applyFill="1" applyBorder="1" applyAlignment="1">
      <alignment horizontal="center" vertical="center"/>
    </xf>
    <xf numFmtId="168" fontId="49" fillId="5" borderId="0" xfId="0" applyNumberFormat="1" applyFont="1" applyFill="1" applyBorder="1" applyAlignment="1">
      <alignment vertical="center"/>
    </xf>
    <xf numFmtId="3" fontId="31" fillId="3" borderId="1" xfId="0" applyNumberFormat="1" applyFont="1" applyFill="1" applyBorder="1" applyAlignment="1">
      <alignment horizontal="center" vertical="center"/>
    </xf>
    <xf numFmtId="168" fontId="106" fillId="5" borderId="0" xfId="0" applyNumberFormat="1" applyFont="1" applyFill="1" applyBorder="1" applyAlignment="1">
      <alignment horizontal="center" vertical="center"/>
    </xf>
    <xf numFmtId="167" fontId="77" fillId="5" borderId="0" xfId="0" applyNumberFormat="1" applyFont="1" applyFill="1" applyBorder="1" applyAlignment="1">
      <alignment horizontal="left" vertical="center" indent="1"/>
    </xf>
    <xf numFmtId="0" fontId="77" fillId="0" borderId="0" xfId="0" applyFont="1" applyBorder="1" applyAlignment="1">
      <alignment horizontal="left" vertical="center" indent="1"/>
    </xf>
    <xf numFmtId="0" fontId="77" fillId="5" borderId="0" xfId="0" applyFont="1" applyFill="1" applyBorder="1" applyAlignment="1">
      <alignment horizontal="left" vertical="center" indent="1"/>
    </xf>
    <xf numFmtId="3" fontId="109" fillId="5" borderId="282" xfId="0" applyNumberFormat="1" applyFont="1" applyFill="1" applyBorder="1" applyAlignment="1">
      <alignment horizontal="left" vertical="center" indent="2"/>
    </xf>
    <xf numFmtId="3" fontId="109" fillId="5" borderId="19" xfId="0" applyNumberFormat="1" applyFont="1" applyFill="1" applyBorder="1" applyAlignment="1">
      <alignment horizontal="left" vertical="center" indent="1"/>
    </xf>
    <xf numFmtId="3" fontId="106" fillId="5" borderId="0" xfId="0" applyNumberFormat="1" applyFont="1" applyFill="1" applyAlignment="1">
      <alignment vertical="center"/>
    </xf>
    <xf numFmtId="3" fontId="110" fillId="6" borderId="282" xfId="0" applyNumberFormat="1" applyFont="1" applyFill="1" applyBorder="1" applyAlignment="1">
      <alignment horizontal="center" vertical="center"/>
    </xf>
    <xf numFmtId="3" fontId="110" fillId="6" borderId="19" xfId="0" applyNumberFormat="1" applyFont="1" applyFill="1" applyBorder="1" applyAlignment="1">
      <alignment horizontal="center" vertical="center"/>
    </xf>
    <xf numFmtId="3" fontId="31" fillId="5" borderId="380" xfId="0" applyNumberFormat="1" applyFont="1" applyFill="1" applyBorder="1" applyAlignment="1">
      <alignment horizontal="left" vertical="center" indent="1"/>
    </xf>
    <xf numFmtId="3" fontId="31" fillId="5" borderId="32" xfId="0" applyNumberFormat="1" applyFont="1" applyFill="1" applyBorder="1" applyAlignment="1">
      <alignment horizontal="center" vertical="center"/>
    </xf>
    <xf numFmtId="3" fontId="31" fillId="5" borderId="17" xfId="0" applyNumberFormat="1" applyFont="1" applyFill="1" applyBorder="1" applyAlignment="1">
      <alignment horizontal="center" vertical="center"/>
    </xf>
    <xf numFmtId="3" fontId="31" fillId="5" borderId="19" xfId="0" applyNumberFormat="1" applyFont="1" applyFill="1" applyBorder="1" applyAlignment="1">
      <alignment horizontal="center" vertical="center"/>
    </xf>
    <xf numFmtId="3" fontId="110" fillId="5" borderId="0" xfId="0" applyNumberFormat="1" applyFont="1" applyFill="1" applyAlignment="1">
      <alignment horizontal="center" vertical="center"/>
    </xf>
    <xf numFmtId="167" fontId="106" fillId="5" borderId="0" xfId="0" applyNumberFormat="1" applyFont="1" applyFill="1" applyBorder="1" applyAlignment="1">
      <alignment horizontal="center" vertical="center"/>
    </xf>
    <xf numFmtId="167" fontId="106" fillId="5" borderId="0" xfId="0" applyNumberFormat="1" applyFont="1" applyFill="1" applyAlignment="1">
      <alignment horizontal="center" vertical="center"/>
    </xf>
    <xf numFmtId="0" fontId="110" fillId="6" borderId="282" xfId="0" applyFont="1" applyFill="1" applyBorder="1" applyAlignment="1">
      <alignment horizontal="center" vertical="center"/>
    </xf>
    <xf numFmtId="0" fontId="31" fillId="5" borderId="377" xfId="0" applyFont="1" applyFill="1" applyBorder="1" applyAlignment="1">
      <alignment horizontal="left" vertical="center" indent="1"/>
    </xf>
    <xf numFmtId="0" fontId="31" fillId="5" borderId="32" xfId="0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center" vertical="center"/>
    </xf>
    <xf numFmtId="0" fontId="31" fillId="5" borderId="380" xfId="0" applyFont="1" applyFill="1" applyBorder="1" applyAlignment="1">
      <alignment horizontal="left" vertical="center" indent="1"/>
    </xf>
    <xf numFmtId="3" fontId="31" fillId="5" borderId="375" xfId="0" applyNumberFormat="1" applyFont="1" applyFill="1" applyBorder="1" applyAlignment="1">
      <alignment horizontal="left" vertical="center" indent="1"/>
    </xf>
    <xf numFmtId="3" fontId="31" fillId="5" borderId="155" xfId="0" applyNumberFormat="1" applyFont="1" applyFill="1" applyBorder="1" applyAlignment="1">
      <alignment horizontal="left" vertical="center" indent="1"/>
    </xf>
    <xf numFmtId="0" fontId="33" fillId="5" borderId="13" xfId="0" applyFont="1" applyFill="1" applyBorder="1" applyAlignment="1">
      <alignment horizontal="center" vertical="center"/>
    </xf>
    <xf numFmtId="0" fontId="33" fillId="5" borderId="20" xfId="0" applyFont="1" applyFill="1" applyBorder="1" applyAlignment="1">
      <alignment horizontal="center" vertical="center"/>
    </xf>
    <xf numFmtId="167" fontId="104" fillId="5" borderId="0" xfId="0" applyNumberFormat="1" applyFont="1" applyFill="1" applyAlignment="1">
      <alignment vertical="center"/>
    </xf>
    <xf numFmtId="3" fontId="34" fillId="6" borderId="283" xfId="0" applyNumberFormat="1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1" fontId="33" fillId="5" borderId="33" xfId="0" applyNumberFormat="1" applyFont="1" applyFill="1" applyBorder="1" applyAlignment="1">
      <alignment horizontal="left" vertical="center" indent="1"/>
    </xf>
    <xf numFmtId="1" fontId="33" fillId="5" borderId="20" xfId="0" applyNumberFormat="1" applyFont="1" applyFill="1" applyBorder="1" applyAlignment="1">
      <alignment horizontal="left" vertical="center" indent="1"/>
    </xf>
    <xf numFmtId="3" fontId="33" fillId="5" borderId="33" xfId="0" applyNumberFormat="1" applyFont="1" applyFill="1" applyBorder="1" applyAlignment="1">
      <alignment horizontal="center" vertical="center"/>
    </xf>
    <xf numFmtId="3" fontId="33" fillId="5" borderId="13" xfId="0" applyNumberFormat="1" applyFont="1" applyFill="1" applyBorder="1" applyAlignment="1">
      <alignment horizontal="center" vertical="center"/>
    </xf>
    <xf numFmtId="3" fontId="33" fillId="5" borderId="20" xfId="0" applyNumberFormat="1" applyFont="1" applyFill="1" applyBorder="1" applyAlignment="1">
      <alignment horizontal="center" vertical="center"/>
    </xf>
    <xf numFmtId="0" fontId="33" fillId="5" borderId="33" xfId="0" applyFont="1" applyFill="1" applyBorder="1" applyAlignment="1">
      <alignment horizontal="center" vertical="center"/>
    </xf>
    <xf numFmtId="0" fontId="33" fillId="5" borderId="0" xfId="0" applyFont="1" applyFill="1" applyAlignment="1">
      <alignment horizontal="center" vertical="center"/>
    </xf>
    <xf numFmtId="0" fontId="34" fillId="5" borderId="0" xfId="0" applyFont="1" applyFill="1" applyAlignment="1">
      <alignment vertical="center"/>
    </xf>
    <xf numFmtId="3" fontId="34" fillId="5" borderId="65" xfId="0" applyNumberFormat="1" applyFont="1" applyFill="1" applyBorder="1" applyAlignment="1">
      <alignment vertical="center"/>
    </xf>
    <xf numFmtId="3" fontId="34" fillId="5" borderId="163" xfId="0" applyNumberFormat="1" applyFont="1" applyFill="1" applyBorder="1" applyAlignment="1">
      <alignment horizontal="center" vertical="center"/>
    </xf>
    <xf numFmtId="3" fontId="104" fillId="5" borderId="0" xfId="0" applyNumberFormat="1" applyFont="1" applyFill="1" applyAlignment="1">
      <alignment vertical="center"/>
    </xf>
    <xf numFmtId="3" fontId="34" fillId="6" borderId="20" xfId="0" applyNumberFormat="1" applyFont="1" applyFill="1" applyBorder="1" applyAlignment="1">
      <alignment horizontal="center" vertical="center"/>
    </xf>
    <xf numFmtId="3" fontId="34" fillId="5" borderId="0" xfId="0" applyNumberFormat="1" applyFont="1" applyFill="1" applyAlignment="1">
      <alignment horizontal="center" vertical="center"/>
    </xf>
    <xf numFmtId="166" fontId="20" fillId="3" borderId="29" xfId="0" applyNumberFormat="1" applyFont="1" applyFill="1" applyBorder="1" applyAlignment="1">
      <alignment horizontal="center" vertical="center"/>
    </xf>
    <xf numFmtId="0" fontId="15" fillId="6" borderId="282" xfId="0" applyFont="1" applyFill="1" applyBorder="1" applyAlignment="1">
      <alignment horizontal="left" vertical="center" indent="2"/>
    </xf>
    <xf numFmtId="0" fontId="0" fillId="6" borderId="284" xfId="0" applyFont="1" applyFill="1" applyBorder="1" applyAlignment="1">
      <alignment horizontal="center" vertical="center"/>
    </xf>
    <xf numFmtId="166" fontId="23" fillId="6" borderId="17" xfId="38" applyNumberFormat="1" applyFont="1" applyFill="1" applyBorder="1" applyAlignment="1">
      <alignment horizontal="center" vertical="center"/>
    </xf>
    <xf numFmtId="166" fontId="23" fillId="5" borderId="17" xfId="37" applyNumberFormat="1" applyFont="1" applyFill="1" applyBorder="1" applyAlignment="1">
      <alignment horizontal="center" vertical="center"/>
    </xf>
    <xf numFmtId="166" fontId="23" fillId="5" borderId="19" xfId="37" applyNumberFormat="1" applyFont="1" applyFill="1" applyBorder="1" applyAlignment="1">
      <alignment horizontal="center" vertical="center"/>
    </xf>
    <xf numFmtId="166" fontId="23" fillId="6" borderId="19" xfId="38" applyNumberFormat="1" applyFont="1" applyFill="1" applyBorder="1" applyAlignment="1">
      <alignment horizontal="center" vertical="center"/>
    </xf>
    <xf numFmtId="166" fontId="23" fillId="5" borderId="32" xfId="37" applyNumberFormat="1" applyFont="1" applyFill="1" applyBorder="1" applyAlignment="1">
      <alignment horizontal="center" vertical="center"/>
    </xf>
    <xf numFmtId="3" fontId="32" fillId="5" borderId="93" xfId="0" applyNumberFormat="1" applyFont="1" applyFill="1" applyBorder="1" applyAlignment="1">
      <alignment horizontal="center" vertical="center"/>
    </xf>
    <xf numFmtId="3" fontId="33" fillId="3" borderId="392" xfId="0" applyNumberFormat="1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0" fillId="39" borderId="27" xfId="0" applyFont="1" applyFill="1" applyBorder="1" applyAlignment="1">
      <alignment horizontal="left" vertical="center"/>
    </xf>
    <xf numFmtId="0" fontId="0" fillId="39" borderId="25" xfId="0" applyFont="1" applyFill="1" applyBorder="1" applyAlignment="1">
      <alignment horizontal="left" vertical="center"/>
    </xf>
    <xf numFmtId="4" fontId="42" fillId="11" borderId="403" xfId="0" applyNumberFormat="1" applyFont="1" applyFill="1" applyBorder="1" applyAlignment="1">
      <alignment horizontal="left" vertical="center"/>
    </xf>
    <xf numFmtId="0" fontId="0" fillId="2" borderId="403" xfId="0" applyFont="1" applyFill="1" applyBorder="1" applyAlignment="1">
      <alignment horizontal="left" vertical="center"/>
    </xf>
    <xf numFmtId="3" fontId="43" fillId="6" borderId="20" xfId="0" applyNumberFormat="1" applyFont="1" applyFill="1" applyBorder="1" applyAlignment="1">
      <alignment horizontal="left" vertical="center"/>
    </xf>
    <xf numFmtId="3" fontId="42" fillId="6" borderId="20" xfId="0" applyNumberFormat="1" applyFont="1" applyFill="1" applyBorder="1" applyAlignment="1">
      <alignment horizontal="left" vertical="center"/>
    </xf>
    <xf numFmtId="3" fontId="42" fillId="6" borderId="4" xfId="0" applyNumberFormat="1" applyFont="1" applyFill="1" applyBorder="1" applyAlignment="1">
      <alignment horizontal="left" vertical="center"/>
    </xf>
    <xf numFmtId="3" fontId="42" fillId="6" borderId="17" xfId="0" applyNumberFormat="1" applyFont="1" applyFill="1" applyBorder="1" applyAlignment="1">
      <alignment horizontal="left" vertical="center"/>
    </xf>
    <xf numFmtId="3" fontId="42" fillId="6" borderId="13" xfId="0" applyNumberFormat="1" applyFont="1" applyFill="1" applyBorder="1" applyAlignment="1">
      <alignment horizontal="left" vertical="center"/>
    </xf>
    <xf numFmtId="3" fontId="42" fillId="6" borderId="24" xfId="0" applyNumberFormat="1" applyFont="1" applyFill="1" applyBorder="1" applyAlignment="1">
      <alignment horizontal="left" vertical="center"/>
    </xf>
    <xf numFmtId="3" fontId="42" fillId="5" borderId="18" xfId="0" applyNumberFormat="1" applyFont="1" applyFill="1" applyBorder="1" applyAlignment="1">
      <alignment horizontal="left" vertical="center"/>
    </xf>
    <xf numFmtId="0" fontId="24" fillId="5" borderId="13" xfId="0" applyFont="1" applyFill="1" applyBorder="1" applyAlignment="1">
      <alignment horizontal="left" vertical="center" indent="1"/>
    </xf>
    <xf numFmtId="0" fontId="0" fillId="6" borderId="17" xfId="0" applyFont="1" applyFill="1" applyBorder="1" applyAlignment="1">
      <alignment horizontal="left" vertical="center"/>
    </xf>
    <xf numFmtId="0" fontId="0" fillId="6" borderId="13" xfId="0" applyFont="1" applyFill="1" applyBorder="1" applyAlignment="1">
      <alignment horizontal="left" vertical="center"/>
    </xf>
    <xf numFmtId="0" fontId="20" fillId="6" borderId="24" xfId="0" applyFont="1" applyFill="1" applyBorder="1" applyAlignment="1">
      <alignment vertical="center"/>
    </xf>
    <xf numFmtId="3" fontId="42" fillId="6" borderId="19" xfId="0" applyNumberFormat="1" applyFont="1" applyFill="1" applyBorder="1" applyAlignment="1">
      <alignment horizontal="left" vertical="center"/>
    </xf>
    <xf numFmtId="3" fontId="43" fillId="11" borderId="64" xfId="0" applyNumberFormat="1" applyFont="1" applyFill="1" applyBorder="1" applyAlignment="1">
      <alignment horizontal="left" vertical="center"/>
    </xf>
    <xf numFmtId="0" fontId="0" fillId="5" borderId="38" xfId="0" applyFont="1" applyFill="1" applyBorder="1" applyAlignment="1">
      <alignment horizontal="left" vertical="center"/>
    </xf>
    <xf numFmtId="0" fontId="0" fillId="11" borderId="386" xfId="0" applyFont="1" applyFill="1" applyBorder="1" applyAlignment="1">
      <alignment horizontal="left" vertical="center"/>
    </xf>
    <xf numFmtId="4" fontId="42" fillId="3" borderId="284" xfId="0" applyNumberFormat="1" applyFont="1" applyFill="1" applyBorder="1" applyAlignment="1">
      <alignment horizontal="left" vertical="center"/>
    </xf>
    <xf numFmtId="0" fontId="24" fillId="3" borderId="20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center"/>
    </xf>
    <xf numFmtId="0" fontId="0" fillId="3" borderId="283" xfId="0" applyFont="1" applyFill="1" applyBorder="1" applyAlignment="1">
      <alignment horizontal="left" vertical="center"/>
    </xf>
    <xf numFmtId="0" fontId="0" fillId="3" borderId="13" xfId="0" applyFont="1" applyFill="1" applyBorder="1" applyAlignment="1">
      <alignment horizontal="left" vertical="center"/>
    </xf>
    <xf numFmtId="0" fontId="20" fillId="0" borderId="25" xfId="0" applyFont="1" applyBorder="1" applyAlignment="1">
      <alignment vertical="center"/>
    </xf>
    <xf numFmtId="0" fontId="0" fillId="3" borderId="17" xfId="0" applyFont="1" applyFill="1" applyBorder="1" applyAlignment="1">
      <alignment horizontal="left" vertical="center"/>
    </xf>
    <xf numFmtId="0" fontId="20" fillId="3" borderId="24" xfId="0" applyFont="1" applyFill="1" applyBorder="1" applyAlignment="1">
      <alignment vertical="center"/>
    </xf>
    <xf numFmtId="0" fontId="0" fillId="3" borderId="0" xfId="0" applyFont="1" applyFill="1" applyAlignment="1">
      <alignment horizontal="left" vertical="center"/>
    </xf>
    <xf numFmtId="4" fontId="42" fillId="5" borderId="55" xfId="0" applyNumberFormat="1" applyFont="1" applyFill="1" applyBorder="1" applyAlignment="1">
      <alignment horizontal="left" vertical="center"/>
    </xf>
    <xf numFmtId="0" fontId="0" fillId="3" borderId="404" xfId="0" applyFont="1" applyFill="1" applyBorder="1" applyAlignment="1">
      <alignment horizontal="left" vertical="center"/>
    </xf>
    <xf numFmtId="0" fontId="0" fillId="38" borderId="406" xfId="0" applyFont="1" applyFill="1" applyBorder="1" applyAlignment="1">
      <alignment horizontal="left" vertical="center"/>
    </xf>
    <xf numFmtId="0" fontId="24" fillId="5" borderId="43" xfId="0" applyFont="1" applyFill="1" applyBorder="1" applyAlignment="1">
      <alignment horizontal="right" vertical="center" indent="1"/>
    </xf>
    <xf numFmtId="170" fontId="42" fillId="34" borderId="19" xfId="0" applyNumberFormat="1" applyFont="1" applyFill="1" applyBorder="1" applyAlignment="1">
      <alignment horizontal="left" vertical="center"/>
    </xf>
    <xf numFmtId="170" fontId="42" fillId="34" borderId="20" xfId="0" applyNumberFormat="1" applyFont="1" applyFill="1" applyBorder="1" applyAlignment="1">
      <alignment horizontal="left" vertical="center"/>
    </xf>
    <xf numFmtId="170" fontId="101" fillId="34" borderId="20" xfId="0" applyNumberFormat="1" applyFont="1" applyFill="1" applyBorder="1" applyAlignment="1">
      <alignment horizontal="left" vertical="center"/>
    </xf>
    <xf numFmtId="170" fontId="42" fillId="34" borderId="20" xfId="0" applyNumberFormat="1" applyFont="1" applyFill="1" applyBorder="1" applyAlignment="1">
      <alignment horizontal="left" vertical="center" indent="1"/>
    </xf>
    <xf numFmtId="170" fontId="42" fillId="34" borderId="4" xfId="0" applyNumberFormat="1" applyFont="1" applyFill="1" applyBorder="1" applyAlignment="1">
      <alignment horizontal="left" vertical="center"/>
    </xf>
    <xf numFmtId="0" fontId="24" fillId="5" borderId="298" xfId="0" applyFont="1" applyFill="1" applyBorder="1" applyAlignment="1">
      <alignment horizontal="left" vertical="center"/>
    </xf>
    <xf numFmtId="0" fontId="0" fillId="5" borderId="198" xfId="0" applyFont="1" applyFill="1" applyBorder="1" applyAlignment="1">
      <alignment horizontal="left" vertical="center"/>
    </xf>
    <xf numFmtId="0" fontId="0" fillId="5" borderId="407" xfId="0" applyFont="1" applyFill="1" applyBorder="1" applyAlignment="1">
      <alignment horizontal="left" vertical="center"/>
    </xf>
    <xf numFmtId="0" fontId="24" fillId="5" borderId="298" xfId="0" applyFont="1" applyFill="1" applyBorder="1" applyAlignment="1">
      <alignment horizontal="left" vertical="center" indent="1"/>
    </xf>
    <xf numFmtId="0" fontId="24" fillId="5" borderId="298" xfId="0" applyFont="1" applyFill="1" applyBorder="1" applyAlignment="1">
      <alignment horizontal="right" vertical="center"/>
    </xf>
    <xf numFmtId="170" fontId="42" fillId="5" borderId="111" xfId="0" applyNumberFormat="1" applyFont="1" applyFill="1" applyBorder="1" applyAlignment="1">
      <alignment horizontal="left" vertical="center"/>
    </xf>
    <xf numFmtId="170" fontId="42" fillId="5" borderId="43" xfId="0" applyNumberFormat="1" applyFont="1" applyFill="1" applyBorder="1" applyAlignment="1">
      <alignment horizontal="left" vertical="center"/>
    </xf>
    <xf numFmtId="170" fontId="42" fillId="5" borderId="31" xfId="0" applyNumberFormat="1" applyFont="1" applyFill="1" applyBorder="1" applyAlignment="1">
      <alignment horizontal="left" vertical="center"/>
    </xf>
    <xf numFmtId="170" fontId="42" fillId="5" borderId="408" xfId="0" applyNumberFormat="1" applyFont="1" applyFill="1" applyBorder="1" applyAlignment="1">
      <alignment horizontal="left" vertical="center"/>
    </xf>
    <xf numFmtId="170" fontId="42" fillId="5" borderId="409" xfId="0" applyNumberFormat="1" applyFont="1" applyFill="1" applyBorder="1" applyAlignment="1">
      <alignment horizontal="left" vertical="center"/>
    </xf>
    <xf numFmtId="170" fontId="42" fillId="5" borderId="44" xfId="0" applyNumberFormat="1" applyFont="1" applyFill="1" applyBorder="1" applyAlignment="1">
      <alignment horizontal="left" vertical="center"/>
    </xf>
    <xf numFmtId="0" fontId="29" fillId="5" borderId="43" xfId="0" applyFont="1" applyFill="1" applyBorder="1" applyAlignment="1">
      <alignment horizontal="left" vertical="center" indent="1"/>
    </xf>
    <xf numFmtId="0" fontId="0" fillId="2" borderId="20" xfId="0" applyFont="1" applyFill="1" applyBorder="1" applyAlignment="1">
      <alignment horizontal="left" vertical="center"/>
    </xf>
    <xf numFmtId="0" fontId="0" fillId="2" borderId="20" xfId="0" applyFill="1" applyBorder="1"/>
    <xf numFmtId="0" fontId="0" fillId="2" borderId="283" xfId="0" applyFont="1" applyFill="1" applyBorder="1" applyAlignment="1">
      <alignment horizontal="left" vertical="center"/>
    </xf>
    <xf numFmtId="0" fontId="24" fillId="2" borderId="283" xfId="0" applyFont="1" applyFill="1" applyBorder="1" applyAlignment="1">
      <alignment horizontal="left" vertical="center" indent="1"/>
    </xf>
    <xf numFmtId="0" fontId="24" fillId="2" borderId="19" xfId="0" applyFont="1" applyFill="1" applyBorder="1" applyAlignment="1">
      <alignment horizontal="left" indent="1"/>
    </xf>
    <xf numFmtId="0" fontId="0" fillId="10" borderId="32" xfId="0" applyFont="1" applyFill="1" applyBorder="1" applyAlignment="1">
      <alignment horizontal="left" vertical="center" indent="1"/>
    </xf>
    <xf numFmtId="0" fontId="0" fillId="10" borderId="17" xfId="0" applyFont="1" applyFill="1" applyBorder="1" applyAlignment="1">
      <alignment horizontal="left" vertical="center" indent="1"/>
    </xf>
    <xf numFmtId="0" fontId="0" fillId="33" borderId="17" xfId="0" applyFont="1" applyFill="1" applyBorder="1" applyAlignment="1">
      <alignment horizontal="left" vertical="center" indent="1"/>
    </xf>
    <xf numFmtId="0" fontId="0" fillId="0" borderId="17" xfId="0" applyFont="1" applyBorder="1" applyAlignment="1">
      <alignment horizontal="left" vertical="center" indent="1"/>
    </xf>
    <xf numFmtId="0" fontId="0" fillId="0" borderId="19" xfId="0" applyFont="1" applyBorder="1" applyAlignment="1">
      <alignment horizontal="left" vertical="center" indent="1"/>
    </xf>
    <xf numFmtId="0" fontId="0" fillId="2" borderId="284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5" borderId="143" xfId="0" applyFont="1" applyFill="1" applyBorder="1" applyAlignment="1">
      <alignment horizontal="left" vertical="center"/>
    </xf>
    <xf numFmtId="0" fontId="0" fillId="5" borderId="255" xfId="0" applyFont="1" applyFill="1" applyBorder="1" applyAlignment="1">
      <alignment horizontal="left" vertical="center"/>
    </xf>
    <xf numFmtId="4" fontId="42" fillId="5" borderId="75" xfId="0" applyNumberFormat="1" applyFont="1" applyFill="1" applyBorder="1" applyAlignment="1">
      <alignment horizontal="left" vertical="center"/>
    </xf>
    <xf numFmtId="0" fontId="0" fillId="2" borderId="415" xfId="0" applyFont="1" applyFill="1" applyBorder="1" applyAlignment="1">
      <alignment horizontal="left" vertical="center"/>
    </xf>
    <xf numFmtId="167" fontId="0" fillId="2" borderId="166" xfId="0" applyNumberFormat="1" applyFill="1" applyBorder="1" applyAlignment="1">
      <alignment horizontal="left"/>
    </xf>
    <xf numFmtId="167" fontId="0" fillId="2" borderId="355" xfId="0" applyNumberFormat="1" applyFill="1" applyBorder="1" applyAlignment="1">
      <alignment horizontal="center"/>
    </xf>
    <xf numFmtId="167" fontId="0" fillId="2" borderId="354" xfId="0" applyNumberFormat="1" applyFill="1" applyBorder="1" applyAlignment="1">
      <alignment horizontal="center"/>
    </xf>
    <xf numFmtId="0" fontId="24" fillId="2" borderId="352" xfId="0" applyFont="1" applyFill="1" applyBorder="1" applyAlignment="1">
      <alignment horizontal="left" vertical="center" indent="1"/>
    </xf>
    <xf numFmtId="0" fontId="24" fillId="2" borderId="353" xfId="0" applyFont="1" applyFill="1" applyBorder="1" applyAlignment="1">
      <alignment horizontal="left" vertical="center"/>
    </xf>
    <xf numFmtId="0" fontId="0" fillId="2" borderId="353" xfId="0" applyFont="1" applyFill="1" applyBorder="1" applyAlignment="1">
      <alignment horizontal="left" vertical="center"/>
    </xf>
    <xf numFmtId="0" fontId="0" fillId="2" borderId="416" xfId="0" applyFont="1" applyFill="1" applyBorder="1" applyAlignment="1">
      <alignment horizontal="left" vertical="center"/>
    </xf>
    <xf numFmtId="0" fontId="24" fillId="2" borderId="410" xfId="0" applyFont="1" applyFill="1" applyBorder="1" applyAlignment="1">
      <alignment horizontal="left" vertical="center" indent="1"/>
    </xf>
    <xf numFmtId="167" fontId="24" fillId="2" borderId="20" xfId="0" applyNumberFormat="1" applyFont="1" applyFill="1" applyBorder="1" applyAlignment="1">
      <alignment horizontal="left" indent="1"/>
    </xf>
    <xf numFmtId="0" fontId="24" fillId="2" borderId="20" xfId="0" applyFont="1" applyFill="1" applyBorder="1" applyAlignment="1">
      <alignment horizontal="left" vertical="center"/>
    </xf>
    <xf numFmtId="0" fontId="24" fillId="2" borderId="20" xfId="0" applyFont="1" applyFill="1" applyBorder="1" applyAlignment="1">
      <alignment horizontal="left" vertical="center" indent="1"/>
    </xf>
    <xf numFmtId="0" fontId="24" fillId="2" borderId="354" xfId="0" applyFont="1" applyFill="1" applyBorder="1" applyAlignment="1">
      <alignment horizontal="left" vertical="center"/>
    </xf>
    <xf numFmtId="0" fontId="0" fillId="2" borderId="355" xfId="0" applyFont="1" applyFill="1" applyBorder="1" applyAlignment="1">
      <alignment horizontal="left" vertical="center"/>
    </xf>
    <xf numFmtId="0" fontId="100" fillId="11" borderId="410" xfId="0" applyFont="1" applyFill="1" applyBorder="1" applyAlignment="1">
      <alignment horizontal="left" vertical="center" indent="1"/>
    </xf>
    <xf numFmtId="0" fontId="0" fillId="11" borderId="284" xfId="0" applyFont="1" applyFill="1" applyBorder="1" applyAlignment="1">
      <alignment horizontal="left" vertical="center"/>
    </xf>
    <xf numFmtId="0" fontId="0" fillId="0" borderId="45" xfId="0" applyFont="1" applyBorder="1" applyAlignment="1">
      <alignment horizontal="left" vertical="center" indent="1"/>
    </xf>
    <xf numFmtId="0" fontId="0" fillId="0" borderId="36" xfId="0" applyFont="1" applyBorder="1" applyAlignment="1">
      <alignment horizontal="left" vertical="center" indent="1"/>
    </xf>
    <xf numFmtId="0" fontId="0" fillId="33" borderId="36" xfId="0" applyFont="1" applyFill="1" applyBorder="1" applyAlignment="1">
      <alignment horizontal="left" vertical="center" indent="1"/>
    </xf>
    <xf numFmtId="0" fontId="0" fillId="0" borderId="37" xfId="0" applyFont="1" applyBorder="1" applyAlignment="1">
      <alignment horizontal="left" vertical="center" indent="1"/>
    </xf>
    <xf numFmtId="0" fontId="0" fillId="5" borderId="208" xfId="0" applyFont="1" applyFill="1" applyBorder="1" applyAlignment="1">
      <alignment horizontal="left" vertical="center"/>
    </xf>
    <xf numFmtId="3" fontId="53" fillId="5" borderId="0" xfId="0" applyNumberFormat="1" applyFont="1" applyFill="1" applyBorder="1" applyAlignment="1">
      <alignment horizontal="center" vertical="center"/>
    </xf>
    <xf numFmtId="0" fontId="112" fillId="9" borderId="14" xfId="0" applyFont="1" applyFill="1" applyBorder="1" applyAlignment="1">
      <alignment horizontal="right" vertical="center" indent="1"/>
    </xf>
    <xf numFmtId="0" fontId="112" fillId="9" borderId="295" xfId="0" applyFont="1" applyFill="1" applyBorder="1" applyAlignment="1">
      <alignment horizontal="right" vertical="center" indent="1"/>
    </xf>
    <xf numFmtId="0" fontId="112" fillId="9" borderId="75" xfId="0" applyFont="1" applyFill="1" applyBorder="1" applyAlignment="1">
      <alignment horizontal="right" vertical="center" indent="1"/>
    </xf>
    <xf numFmtId="3" fontId="112" fillId="2" borderId="256" xfId="0" applyNumberFormat="1" applyFont="1" applyFill="1" applyBorder="1" applyAlignment="1">
      <alignment horizontal="left" vertical="center" indent="1"/>
    </xf>
    <xf numFmtId="3" fontId="112" fillId="2" borderId="259" xfId="0" applyNumberFormat="1" applyFont="1" applyFill="1" applyBorder="1" applyAlignment="1">
      <alignment horizontal="left" vertical="center" indent="1"/>
    </xf>
    <xf numFmtId="3" fontId="112" fillId="2" borderId="265" xfId="0" applyNumberFormat="1" applyFont="1" applyFill="1" applyBorder="1" applyAlignment="1">
      <alignment horizontal="left" vertical="center" indent="1"/>
    </xf>
    <xf numFmtId="0" fontId="112" fillId="9" borderId="299" xfId="0" applyFont="1" applyFill="1" applyBorder="1" applyAlignment="1">
      <alignment horizontal="right" vertical="center" indent="1"/>
    </xf>
    <xf numFmtId="0" fontId="112" fillId="9" borderId="260" xfId="0" applyFont="1" applyFill="1" applyBorder="1" applyAlignment="1">
      <alignment horizontal="right" vertical="center" indent="1"/>
    </xf>
    <xf numFmtId="0" fontId="112" fillId="9" borderId="262" xfId="0" applyFont="1" applyFill="1" applyBorder="1" applyAlignment="1">
      <alignment horizontal="right" vertical="center" indent="1"/>
    </xf>
    <xf numFmtId="0" fontId="112" fillId="9" borderId="53" xfId="0" applyFont="1" applyFill="1" applyBorder="1" applyAlignment="1">
      <alignment horizontal="right" vertical="center" indent="1"/>
    </xf>
    <xf numFmtId="0" fontId="112" fillId="9" borderId="307" xfId="0" applyFont="1" applyFill="1" applyBorder="1" applyAlignment="1">
      <alignment horizontal="right" vertical="center" indent="1"/>
    </xf>
    <xf numFmtId="0" fontId="112" fillId="0" borderId="0" xfId="0" applyFont="1"/>
    <xf numFmtId="0" fontId="113" fillId="9" borderId="283" xfId="0" applyFont="1" applyFill="1" applyBorder="1" applyAlignment="1">
      <alignment horizontal="center" vertical="center"/>
    </xf>
    <xf numFmtId="0" fontId="113" fillId="9" borderId="283" xfId="0" applyFont="1" applyFill="1" applyBorder="1" applyAlignment="1">
      <alignment horizontal="right" vertical="center" indent="1"/>
    </xf>
    <xf numFmtId="0" fontId="112" fillId="9" borderId="283" xfId="0" applyFont="1" applyFill="1" applyBorder="1" applyAlignment="1">
      <alignment horizontal="right" vertical="center" indent="1"/>
    </xf>
    <xf numFmtId="0" fontId="113" fillId="5" borderId="283" xfId="0" applyFont="1" applyFill="1" applyBorder="1" applyAlignment="1">
      <alignment horizontal="right" vertical="center" indent="1"/>
    </xf>
    <xf numFmtId="0" fontId="113" fillId="9" borderId="284" xfId="0" applyFont="1" applyFill="1" applyBorder="1" applyAlignment="1">
      <alignment horizontal="center" vertical="center"/>
    </xf>
    <xf numFmtId="0" fontId="112" fillId="0" borderId="13" xfId="0" applyFont="1" applyBorder="1"/>
    <xf numFmtId="0" fontId="112" fillId="0" borderId="17" xfId="0" applyFont="1" applyBorder="1"/>
    <xf numFmtId="0" fontId="112" fillId="0" borderId="19" xfId="0" applyFont="1" applyBorder="1"/>
    <xf numFmtId="0" fontId="112" fillId="0" borderId="20" xfId="0" applyFont="1" applyBorder="1"/>
    <xf numFmtId="0" fontId="113" fillId="9" borderId="0" xfId="0" applyFont="1" applyFill="1" applyBorder="1" applyAlignment="1">
      <alignment horizontal="left" vertical="center" indent="1"/>
    </xf>
    <xf numFmtId="0" fontId="113" fillId="9" borderId="0" xfId="0" applyFont="1" applyFill="1" applyBorder="1" applyAlignment="1">
      <alignment horizontal="left" vertical="center"/>
    </xf>
    <xf numFmtId="0" fontId="113" fillId="9" borderId="0" xfId="0" applyFont="1" applyFill="1" applyBorder="1" applyAlignment="1">
      <alignment horizontal="left" vertical="center" indent="10"/>
    </xf>
    <xf numFmtId="0" fontId="112" fillId="9" borderId="268" xfId="0" applyFont="1" applyFill="1" applyBorder="1" applyAlignment="1">
      <alignment horizontal="right" vertical="center" indent="1"/>
    </xf>
    <xf numFmtId="0" fontId="113" fillId="9" borderId="302" xfId="0" applyFont="1" applyFill="1" applyBorder="1" applyAlignment="1">
      <alignment horizontal="right" vertical="center" indent="1"/>
    </xf>
    <xf numFmtId="3" fontId="113" fillId="9" borderId="305" xfId="0" applyNumberFormat="1" applyFont="1" applyFill="1" applyBorder="1" applyAlignment="1">
      <alignment horizontal="left" vertical="center" indent="1"/>
    </xf>
    <xf numFmtId="0" fontId="112" fillId="9" borderId="278" xfId="0" applyFont="1" applyFill="1" applyBorder="1" applyAlignment="1">
      <alignment horizontal="right" vertical="center" indent="1"/>
    </xf>
    <xf numFmtId="0" fontId="112" fillId="0" borderId="306" xfId="0" applyFont="1" applyBorder="1"/>
    <xf numFmtId="0" fontId="112" fillId="9" borderId="301" xfId="0" applyFont="1" applyFill="1" applyBorder="1" applyAlignment="1">
      <alignment horizontal="right" vertical="center" indent="1"/>
    </xf>
    <xf numFmtId="0" fontId="113" fillId="9" borderId="41" xfId="0" applyFont="1" applyFill="1" applyBorder="1" applyAlignment="1">
      <alignment horizontal="right" vertical="center" indent="1"/>
    </xf>
    <xf numFmtId="3" fontId="113" fillId="9" borderId="79" xfId="0" applyNumberFormat="1" applyFont="1" applyFill="1" applyBorder="1" applyAlignment="1">
      <alignment horizontal="center" vertical="center"/>
    </xf>
    <xf numFmtId="3" fontId="113" fillId="9" borderId="70" xfId="0" applyNumberFormat="1" applyFont="1" applyFill="1" applyBorder="1" applyAlignment="1">
      <alignment horizontal="center" vertical="center"/>
    </xf>
    <xf numFmtId="0" fontId="112" fillId="9" borderId="270" xfId="0" applyFont="1" applyFill="1" applyBorder="1" applyAlignment="1">
      <alignment horizontal="right" vertical="center" indent="1"/>
    </xf>
    <xf numFmtId="0" fontId="112" fillId="2" borderId="257" xfId="0" applyFont="1" applyFill="1" applyBorder="1" applyAlignment="1">
      <alignment horizontal="right" vertical="center" indent="1"/>
    </xf>
    <xf numFmtId="0" fontId="112" fillId="2" borderId="258" xfId="0" applyFont="1" applyFill="1" applyBorder="1"/>
    <xf numFmtId="0" fontId="112" fillId="9" borderId="48" xfId="0" applyFont="1" applyFill="1" applyBorder="1" applyAlignment="1">
      <alignment horizontal="right" vertical="center" indent="1"/>
    </xf>
    <xf numFmtId="3" fontId="114" fillId="2" borderId="310" xfId="0" applyNumberFormat="1" applyFont="1" applyFill="1" applyBorder="1" applyAlignment="1">
      <alignment horizontal="left" vertical="center" indent="1"/>
    </xf>
    <xf numFmtId="3" fontId="114" fillId="2" borderId="313" xfId="0" applyNumberFormat="1" applyFont="1" applyFill="1" applyBorder="1" applyAlignment="1">
      <alignment horizontal="left" vertical="center" indent="1"/>
    </xf>
    <xf numFmtId="0" fontId="112" fillId="2" borderId="13" xfId="0" applyFont="1" applyFill="1" applyBorder="1" applyAlignment="1">
      <alignment horizontal="right" vertical="center" indent="1"/>
    </xf>
    <xf numFmtId="0" fontId="112" fillId="2" borderId="260" xfId="0" applyFont="1" applyFill="1" applyBorder="1"/>
    <xf numFmtId="0" fontId="112" fillId="9" borderId="36" xfId="0" applyFont="1" applyFill="1" applyBorder="1" applyAlignment="1">
      <alignment horizontal="right" vertical="center" indent="1"/>
    </xf>
    <xf numFmtId="3" fontId="114" fillId="2" borderId="311" xfId="0" applyNumberFormat="1" applyFont="1" applyFill="1" applyBorder="1" applyAlignment="1">
      <alignment horizontal="left" vertical="center" indent="1"/>
    </xf>
    <xf numFmtId="3" fontId="114" fillId="2" borderId="314" xfId="0" applyNumberFormat="1" applyFont="1" applyFill="1" applyBorder="1" applyAlignment="1">
      <alignment horizontal="left" vertical="center" indent="1"/>
    </xf>
    <xf numFmtId="0" fontId="112" fillId="0" borderId="0" xfId="0" applyFont="1" applyBorder="1"/>
    <xf numFmtId="0" fontId="114" fillId="2" borderId="300" xfId="0" applyFont="1" applyFill="1" applyBorder="1" applyAlignment="1">
      <alignment horizontal="left" indent="1"/>
    </xf>
    <xf numFmtId="0" fontId="114" fillId="2" borderId="315" xfId="0" applyFont="1" applyFill="1" applyBorder="1" applyAlignment="1">
      <alignment horizontal="left" indent="1"/>
    </xf>
    <xf numFmtId="0" fontId="112" fillId="9" borderId="271" xfId="0" applyFont="1" applyFill="1" applyBorder="1" applyAlignment="1">
      <alignment horizontal="right" vertical="center" indent="1"/>
    </xf>
    <xf numFmtId="0" fontId="112" fillId="2" borderId="266" xfId="0" applyFont="1" applyFill="1" applyBorder="1" applyAlignment="1">
      <alignment horizontal="right" vertical="center" indent="1"/>
    </xf>
    <xf numFmtId="0" fontId="112" fillId="2" borderId="267" xfId="0" applyFont="1" applyFill="1" applyBorder="1"/>
    <xf numFmtId="0" fontId="112" fillId="9" borderId="303" xfId="0" applyFont="1" applyFill="1" applyBorder="1" applyAlignment="1">
      <alignment horizontal="right" vertical="center" indent="1"/>
    </xf>
    <xf numFmtId="0" fontId="112" fillId="9" borderId="304" xfId="0" applyFont="1" applyFill="1" applyBorder="1" applyAlignment="1">
      <alignment horizontal="right" vertical="center" indent="1"/>
    </xf>
    <xf numFmtId="3" fontId="115" fillId="2" borderId="82" xfId="0" applyNumberFormat="1" applyFont="1" applyFill="1" applyBorder="1" applyAlignment="1">
      <alignment horizontal="left" vertical="center" indent="1"/>
    </xf>
    <xf numFmtId="168" fontId="116" fillId="2" borderId="82" xfId="0" applyNumberFormat="1" applyFont="1" applyFill="1" applyBorder="1" applyAlignment="1">
      <alignment horizontal="left" vertical="center" indent="1"/>
    </xf>
    <xf numFmtId="0" fontId="112" fillId="0" borderId="270" xfId="0" applyFont="1" applyBorder="1"/>
    <xf numFmtId="2" fontId="115" fillId="2" borderId="83" xfId="0" applyNumberFormat="1" applyFont="1" applyFill="1" applyBorder="1" applyAlignment="1">
      <alignment horizontal="left" vertical="center" indent="1"/>
    </xf>
    <xf numFmtId="168" fontId="116" fillId="2" borderId="309" xfId="0" applyNumberFormat="1" applyFont="1" applyFill="1" applyBorder="1" applyAlignment="1">
      <alignment horizontal="left" vertical="center" indent="1"/>
    </xf>
    <xf numFmtId="0" fontId="112" fillId="5" borderId="270" xfId="0" applyFont="1" applyFill="1" applyBorder="1" applyAlignment="1">
      <alignment horizontal="right" vertical="center" indent="1"/>
    </xf>
    <xf numFmtId="0" fontId="112" fillId="5" borderId="13" xfId="0" applyFont="1" applyFill="1" applyBorder="1" applyAlignment="1">
      <alignment horizontal="right" vertical="center" indent="1"/>
    </xf>
    <xf numFmtId="0" fontId="112" fillId="0" borderId="289" xfId="0" applyFont="1" applyBorder="1"/>
    <xf numFmtId="0" fontId="112" fillId="0" borderId="124" xfId="0" applyFont="1" applyBorder="1"/>
    <xf numFmtId="0" fontId="115" fillId="2" borderId="308" xfId="0" applyFont="1" applyFill="1" applyBorder="1" applyAlignment="1">
      <alignment horizontal="left" indent="1"/>
    </xf>
    <xf numFmtId="168" fontId="116" fillId="2" borderId="308" xfId="0" applyNumberFormat="1" applyFont="1" applyFill="1" applyBorder="1" applyAlignment="1">
      <alignment horizontal="left" vertical="center" indent="1"/>
    </xf>
    <xf numFmtId="0" fontId="112" fillId="9" borderId="37" xfId="0" applyFont="1" applyFill="1" applyBorder="1" applyAlignment="1">
      <alignment horizontal="right" vertical="center" indent="1"/>
    </xf>
    <xf numFmtId="3" fontId="114" fillId="2" borderId="312" xfId="0" applyNumberFormat="1" applyFont="1" applyFill="1" applyBorder="1" applyAlignment="1">
      <alignment horizontal="left" vertical="center" indent="1"/>
    </xf>
    <xf numFmtId="3" fontId="114" fillId="2" borderId="316" xfId="0" applyNumberFormat="1" applyFont="1" applyFill="1" applyBorder="1" applyAlignment="1">
      <alignment horizontal="left" vertical="center" indent="1"/>
    </xf>
    <xf numFmtId="0" fontId="117" fillId="9" borderId="256" xfId="0" applyFont="1" applyFill="1" applyBorder="1" applyAlignment="1">
      <alignment horizontal="right" vertical="center" indent="1"/>
    </xf>
    <xf numFmtId="0" fontId="118" fillId="9" borderId="257" xfId="0" applyFont="1" applyFill="1" applyBorder="1" applyAlignment="1">
      <alignment horizontal="right" vertical="center" indent="1"/>
    </xf>
    <xf numFmtId="0" fontId="113" fillId="9" borderId="394" xfId="0" applyFont="1" applyFill="1" applyBorder="1" applyAlignment="1">
      <alignment horizontal="right" vertical="center" indent="1"/>
    </xf>
    <xf numFmtId="3" fontId="117" fillId="2" borderId="399" xfId="0" applyNumberFormat="1" applyFont="1" applyFill="1" applyBorder="1" applyAlignment="1">
      <alignment horizontal="left" vertical="center" indent="1"/>
    </xf>
    <xf numFmtId="3" fontId="117" fillId="2" borderId="257" xfId="0" applyNumberFormat="1" applyFont="1" applyFill="1" applyBorder="1" applyAlignment="1">
      <alignment horizontal="left" vertical="center" indent="1"/>
    </xf>
    <xf numFmtId="3" fontId="117" fillId="2" borderId="258" xfId="0" applyNumberFormat="1" applyFont="1" applyFill="1" applyBorder="1" applyAlignment="1">
      <alignment horizontal="left" vertical="center" indent="1"/>
    </xf>
    <xf numFmtId="0" fontId="112" fillId="9" borderId="261" xfId="0" applyFont="1" applyFill="1" applyBorder="1" applyAlignment="1">
      <alignment horizontal="right" vertical="center" indent="1"/>
    </xf>
    <xf numFmtId="0" fontId="112" fillId="9" borderId="20" xfId="0" applyFont="1" applyFill="1" applyBorder="1" applyAlignment="1">
      <alignment horizontal="right" vertical="center" indent="1"/>
    </xf>
    <xf numFmtId="0" fontId="113" fillId="9" borderId="38" xfId="0" applyFont="1" applyFill="1" applyBorder="1" applyAlignment="1">
      <alignment horizontal="right" vertical="center" indent="1"/>
    </xf>
    <xf numFmtId="3" fontId="116" fillId="2" borderId="201" xfId="0" applyNumberFormat="1" applyFont="1" applyFill="1" applyBorder="1" applyAlignment="1">
      <alignment horizontal="center" vertical="center"/>
    </xf>
    <xf numFmtId="3" fontId="116" fillId="2" borderId="20" xfId="0" applyNumberFormat="1" applyFont="1" applyFill="1" applyBorder="1" applyAlignment="1">
      <alignment horizontal="center" vertical="center"/>
    </xf>
    <xf numFmtId="3" fontId="116" fillId="2" borderId="262" xfId="0" applyNumberFormat="1" applyFont="1" applyFill="1" applyBorder="1" applyAlignment="1">
      <alignment horizontal="center" vertical="center"/>
    </xf>
    <xf numFmtId="0" fontId="112" fillId="9" borderId="263" xfId="0" applyFont="1" applyFill="1" applyBorder="1" applyAlignment="1">
      <alignment horizontal="right" vertical="center" indent="1"/>
    </xf>
    <xf numFmtId="0" fontId="112" fillId="9" borderId="33" xfId="0" applyFont="1" applyFill="1" applyBorder="1" applyAlignment="1">
      <alignment horizontal="right" vertical="center" indent="1"/>
    </xf>
    <xf numFmtId="3" fontId="119" fillId="2" borderId="140" xfId="0" applyNumberFormat="1" applyFont="1" applyFill="1" applyBorder="1" applyAlignment="1">
      <alignment horizontal="left" vertical="center" indent="1"/>
    </xf>
    <xf numFmtId="3" fontId="119" fillId="2" borderId="33" xfId="0" applyNumberFormat="1" applyFont="1" applyFill="1" applyBorder="1" applyAlignment="1">
      <alignment horizontal="left" vertical="center" indent="1"/>
    </xf>
    <xf numFmtId="3" fontId="119" fillId="2" borderId="264" xfId="0" applyNumberFormat="1" applyFont="1" applyFill="1" applyBorder="1" applyAlignment="1">
      <alignment horizontal="left" vertical="center" indent="1"/>
    </xf>
    <xf numFmtId="0" fontId="112" fillId="9" borderId="387" xfId="0" applyFont="1" applyFill="1" applyBorder="1" applyAlignment="1">
      <alignment horizontal="right" vertical="center" indent="1"/>
    </xf>
    <xf numFmtId="0" fontId="112" fillId="9" borderId="49" xfId="0" applyFont="1" applyFill="1" applyBorder="1" applyAlignment="1">
      <alignment horizontal="right" vertical="center" indent="1"/>
    </xf>
    <xf numFmtId="0" fontId="112" fillId="9" borderId="51" xfId="0" applyFont="1" applyFill="1" applyBorder="1" applyAlignment="1">
      <alignment horizontal="right" vertical="center" indent="1"/>
    </xf>
    <xf numFmtId="3" fontId="119" fillId="2" borderId="60" xfId="0" applyNumberFormat="1" applyFont="1" applyFill="1" applyBorder="1" applyAlignment="1">
      <alignment horizontal="left" vertical="center" indent="1"/>
    </xf>
    <xf numFmtId="3" fontId="119" fillId="2" borderId="49" xfId="0" applyNumberFormat="1" applyFont="1" applyFill="1" applyBorder="1" applyAlignment="1">
      <alignment horizontal="left" vertical="center" indent="1"/>
    </xf>
    <xf numFmtId="3" fontId="119" fillId="2" borderId="388" xfId="0" applyNumberFormat="1" applyFont="1" applyFill="1" applyBorder="1" applyAlignment="1">
      <alignment horizontal="left" vertical="center" indent="1"/>
    </xf>
    <xf numFmtId="0" fontId="117" fillId="37" borderId="263" xfId="0" applyFont="1" applyFill="1" applyBorder="1" applyAlignment="1">
      <alignment horizontal="right" vertical="center" indent="1"/>
    </xf>
    <xf numFmtId="0" fontId="117" fillId="37" borderId="33" xfId="0" applyFont="1" applyFill="1" applyBorder="1" applyAlignment="1">
      <alignment horizontal="right" vertical="center" indent="1"/>
    </xf>
    <xf numFmtId="0" fontId="117" fillId="37" borderId="53" xfId="0" applyFont="1" applyFill="1" applyBorder="1" applyAlignment="1">
      <alignment horizontal="right" vertical="center" indent="1"/>
    </xf>
    <xf numFmtId="0" fontId="117" fillId="37" borderId="387" xfId="0" applyFont="1" applyFill="1" applyBorder="1" applyAlignment="1">
      <alignment horizontal="right" vertical="center" indent="1"/>
    </xf>
    <xf numFmtId="0" fontId="117" fillId="37" borderId="49" xfId="0" applyFont="1" applyFill="1" applyBorder="1" applyAlignment="1">
      <alignment horizontal="right" vertical="center" indent="1"/>
    </xf>
    <xf numFmtId="0" fontId="112" fillId="5" borderId="263" xfId="0" applyFont="1" applyFill="1" applyBorder="1" applyAlignment="1">
      <alignment horizontal="right" vertical="center" indent="1"/>
    </xf>
    <xf numFmtId="168" fontId="119" fillId="2" borderId="140" xfId="0" applyNumberFormat="1" applyFont="1" applyFill="1" applyBorder="1" applyAlignment="1">
      <alignment horizontal="left" vertical="center" indent="1"/>
    </xf>
    <xf numFmtId="168" fontId="119" fillId="2" borderId="33" xfId="0" applyNumberFormat="1" applyFont="1" applyFill="1" applyBorder="1" applyAlignment="1">
      <alignment horizontal="left" vertical="center" indent="1"/>
    </xf>
    <xf numFmtId="168" fontId="119" fillId="2" borderId="264" xfId="0" applyNumberFormat="1" applyFont="1" applyFill="1" applyBorder="1" applyAlignment="1">
      <alignment horizontal="left" vertical="center" indent="1"/>
    </xf>
    <xf numFmtId="0" fontId="112" fillId="9" borderId="38" xfId="0" applyFont="1" applyFill="1" applyBorder="1" applyAlignment="1">
      <alignment horizontal="right" vertical="center" indent="1"/>
    </xf>
    <xf numFmtId="168" fontId="119" fillId="2" borderId="201" xfId="0" applyNumberFormat="1" applyFont="1" applyFill="1" applyBorder="1" applyAlignment="1">
      <alignment horizontal="left" vertical="center" indent="1"/>
    </xf>
    <xf numFmtId="168" fontId="119" fillId="2" borderId="20" xfId="0" applyNumberFormat="1" applyFont="1" applyFill="1" applyBorder="1" applyAlignment="1">
      <alignment horizontal="left" vertical="center" indent="1"/>
    </xf>
    <xf numFmtId="168" fontId="119" fillId="2" borderId="262" xfId="0" applyNumberFormat="1" applyFont="1" applyFill="1" applyBorder="1" applyAlignment="1">
      <alignment horizontal="left" vertical="center" indent="1"/>
    </xf>
    <xf numFmtId="0" fontId="112" fillId="9" borderId="259" xfId="0" applyFont="1" applyFill="1" applyBorder="1" applyAlignment="1">
      <alignment horizontal="right" vertical="center" indent="1"/>
    </xf>
    <xf numFmtId="0" fontId="112" fillId="9" borderId="13" xfId="0" applyFont="1" applyFill="1" applyBorder="1" applyAlignment="1">
      <alignment horizontal="right" vertical="center" indent="1"/>
    </xf>
    <xf numFmtId="3" fontId="119" fillId="2" borderId="142" xfId="0" applyNumberFormat="1" applyFont="1" applyFill="1" applyBorder="1" applyAlignment="1">
      <alignment horizontal="left" vertical="center" indent="1"/>
    </xf>
    <xf numFmtId="3" fontId="119" fillId="2" borderId="13" xfId="0" applyNumberFormat="1" applyFont="1" applyFill="1" applyBorder="1" applyAlignment="1">
      <alignment horizontal="left" vertical="center" indent="1"/>
    </xf>
    <xf numFmtId="3" fontId="119" fillId="2" borderId="260" xfId="0" applyNumberFormat="1" applyFont="1" applyFill="1" applyBorder="1" applyAlignment="1">
      <alignment horizontal="left" vertical="center" indent="1"/>
    </xf>
    <xf numFmtId="3" fontId="120" fillId="2" borderId="201" xfId="0" applyNumberFormat="1" applyFont="1" applyFill="1" applyBorder="1" applyAlignment="1">
      <alignment horizontal="left" vertical="center" indent="1"/>
    </xf>
    <xf numFmtId="3" fontId="120" fillId="2" borderId="20" xfId="0" applyNumberFormat="1" applyFont="1" applyFill="1" applyBorder="1" applyAlignment="1">
      <alignment horizontal="left" vertical="center" indent="1"/>
    </xf>
    <xf numFmtId="3" fontId="120" fillId="2" borderId="262" xfId="0" applyNumberFormat="1" applyFont="1" applyFill="1" applyBorder="1" applyAlignment="1">
      <alignment horizontal="left" vertical="center" indent="1"/>
    </xf>
    <xf numFmtId="3" fontId="121" fillId="2" borderId="140" xfId="0" applyNumberFormat="1" applyFont="1" applyFill="1" applyBorder="1" applyAlignment="1">
      <alignment horizontal="left" vertical="center" indent="1"/>
    </xf>
    <xf numFmtId="3" fontId="121" fillId="2" borderId="33" xfId="0" applyNumberFormat="1" applyFont="1" applyFill="1" applyBorder="1" applyAlignment="1">
      <alignment horizontal="left" vertical="center" indent="1"/>
    </xf>
    <xf numFmtId="3" fontId="121" fillId="2" borderId="264" xfId="0" applyNumberFormat="1" applyFont="1" applyFill="1" applyBorder="1" applyAlignment="1">
      <alignment horizontal="left" vertical="center" indent="1"/>
    </xf>
    <xf numFmtId="167" fontId="121" fillId="2" borderId="142" xfId="0" applyNumberFormat="1" applyFont="1" applyFill="1" applyBorder="1" applyAlignment="1">
      <alignment horizontal="left" vertical="center" indent="1"/>
    </xf>
    <xf numFmtId="167" fontId="121" fillId="2" borderId="13" xfId="0" applyNumberFormat="1" applyFont="1" applyFill="1" applyBorder="1" applyAlignment="1">
      <alignment horizontal="left" vertical="center" indent="1"/>
    </xf>
    <xf numFmtId="167" fontId="121" fillId="2" borderId="260" xfId="0" applyNumberFormat="1" applyFont="1" applyFill="1" applyBorder="1" applyAlignment="1">
      <alignment horizontal="left" vertical="center" indent="1"/>
    </xf>
    <xf numFmtId="167" fontId="121" fillId="2" borderId="60" xfId="0" applyNumberFormat="1" applyFont="1" applyFill="1" applyBorder="1" applyAlignment="1">
      <alignment horizontal="left" vertical="center" indent="1"/>
    </xf>
    <xf numFmtId="167" fontId="121" fillId="2" borderId="49" xfId="0" applyNumberFormat="1" applyFont="1" applyFill="1" applyBorder="1" applyAlignment="1">
      <alignment horizontal="left" vertical="center" indent="1"/>
    </xf>
    <xf numFmtId="167" fontId="121" fillId="2" borderId="388" xfId="0" applyNumberFormat="1" applyFont="1" applyFill="1" applyBorder="1" applyAlignment="1">
      <alignment horizontal="left" vertical="center" indent="1"/>
    </xf>
    <xf numFmtId="0" fontId="117" fillId="37" borderId="389" xfId="0" applyFont="1" applyFill="1" applyBorder="1" applyAlignment="1">
      <alignment horizontal="right" vertical="center" indent="1"/>
    </xf>
    <xf numFmtId="0" fontId="117" fillId="37" borderId="63" xfId="0" applyFont="1" applyFill="1" applyBorder="1" applyAlignment="1">
      <alignment horizontal="right" vertical="center" indent="1"/>
    </xf>
    <xf numFmtId="0" fontId="117" fillId="37" borderId="329" xfId="0" applyFont="1" applyFill="1" applyBorder="1" applyAlignment="1">
      <alignment horizontal="right" vertical="center" indent="1"/>
    </xf>
    <xf numFmtId="3" fontId="117" fillId="37" borderId="330" xfId="0" applyNumberFormat="1" applyFont="1" applyFill="1" applyBorder="1" applyAlignment="1">
      <alignment horizontal="left" vertical="center" indent="1"/>
    </xf>
    <xf numFmtId="3" fontId="117" fillId="37" borderId="63" xfId="0" applyNumberFormat="1" applyFont="1" applyFill="1" applyBorder="1" applyAlignment="1">
      <alignment horizontal="left" vertical="center" indent="1"/>
    </xf>
    <xf numFmtId="3" fontId="117" fillId="37" borderId="393" xfId="0" applyNumberFormat="1" applyFont="1" applyFill="1" applyBorder="1" applyAlignment="1">
      <alignment horizontal="left" vertical="center" indent="1"/>
    </xf>
    <xf numFmtId="170" fontId="117" fillId="37" borderId="140" xfId="0" applyNumberFormat="1" applyFont="1" applyFill="1" applyBorder="1" applyAlignment="1">
      <alignment horizontal="left" vertical="center" indent="1"/>
    </xf>
    <xf numFmtId="176" fontId="121" fillId="2" borderId="142" xfId="0" applyNumberFormat="1" applyFont="1" applyFill="1" applyBorder="1" applyAlignment="1">
      <alignment horizontal="left" vertical="center" indent="1"/>
    </xf>
    <xf numFmtId="176" fontId="121" fillId="2" borderId="13" xfId="0" applyNumberFormat="1" applyFont="1" applyFill="1" applyBorder="1" applyAlignment="1">
      <alignment horizontal="left" vertical="center" indent="1"/>
    </xf>
    <xf numFmtId="176" fontId="121" fillId="2" borderId="260" xfId="0" applyNumberFormat="1" applyFont="1" applyFill="1" applyBorder="1" applyAlignment="1">
      <alignment horizontal="left" vertical="center" indent="1"/>
    </xf>
    <xf numFmtId="4" fontId="121" fillId="2" borderId="142" xfId="0" applyNumberFormat="1" applyFont="1" applyFill="1" applyBorder="1" applyAlignment="1">
      <alignment horizontal="left" vertical="center" indent="1"/>
    </xf>
    <xf numFmtId="3" fontId="121" fillId="2" borderId="142" xfId="0" applyNumberFormat="1" applyFont="1" applyFill="1" applyBorder="1" applyAlignment="1">
      <alignment horizontal="left" vertical="center" indent="1"/>
    </xf>
    <xf numFmtId="3" fontId="121" fillId="2" borderId="13" xfId="0" applyNumberFormat="1" applyFont="1" applyFill="1" applyBorder="1" applyAlignment="1">
      <alignment horizontal="left" vertical="center" indent="1"/>
    </xf>
    <xf numFmtId="3" fontId="121" fillId="2" borderId="260" xfId="0" applyNumberFormat="1" applyFont="1" applyFill="1" applyBorder="1" applyAlignment="1">
      <alignment horizontal="left" vertical="center" indent="1"/>
    </xf>
    <xf numFmtId="4" fontId="121" fillId="2" borderId="60" xfId="0" applyNumberFormat="1" applyFont="1" applyFill="1" applyBorder="1" applyAlignment="1">
      <alignment horizontal="left" vertical="center" indent="1"/>
    </xf>
    <xf numFmtId="4" fontId="121" fillId="2" borderId="49" xfId="0" applyNumberFormat="1" applyFont="1" applyFill="1" applyBorder="1" applyAlignment="1">
      <alignment horizontal="left" vertical="center" indent="1"/>
    </xf>
    <xf numFmtId="3" fontId="121" fillId="2" borderId="388" xfId="0" applyNumberFormat="1" applyFont="1" applyFill="1" applyBorder="1" applyAlignment="1">
      <alignment horizontal="left" vertical="center" indent="1"/>
    </xf>
    <xf numFmtId="0" fontId="117" fillId="37" borderId="390" xfId="0" applyFont="1" applyFill="1" applyBorder="1" applyAlignment="1">
      <alignment horizontal="right" vertical="center" indent="1"/>
    </xf>
    <xf numFmtId="0" fontId="117" fillId="37" borderId="391" xfId="0" applyFont="1" applyFill="1" applyBorder="1" applyAlignment="1">
      <alignment horizontal="right" vertical="center" indent="1"/>
    </xf>
    <xf numFmtId="0" fontId="117" fillId="37" borderId="395" xfId="0" applyFont="1" applyFill="1" applyBorder="1" applyAlignment="1">
      <alignment horizontal="right" vertical="center" indent="1"/>
    </xf>
    <xf numFmtId="0" fontId="112" fillId="9" borderId="372" xfId="0" applyFont="1" applyFill="1" applyBorder="1" applyAlignment="1">
      <alignment horizontal="right" vertical="center" indent="1"/>
    </xf>
    <xf numFmtId="0" fontId="112" fillId="9" borderId="373" xfId="0" applyFont="1" applyFill="1" applyBorder="1" applyAlignment="1">
      <alignment horizontal="right" vertical="center" indent="1"/>
    </xf>
    <xf numFmtId="0" fontId="112" fillId="9" borderId="396" xfId="0" applyFont="1" applyFill="1" applyBorder="1" applyAlignment="1">
      <alignment horizontal="right" vertical="center" indent="1"/>
    </xf>
    <xf numFmtId="4" fontId="121" fillId="2" borderId="400" xfId="0" applyNumberFormat="1" applyFont="1" applyFill="1" applyBorder="1" applyAlignment="1">
      <alignment horizontal="left" vertical="center" indent="1"/>
    </xf>
    <xf numFmtId="4" fontId="121" fillId="2" borderId="374" xfId="0" applyNumberFormat="1" applyFont="1" applyFill="1" applyBorder="1" applyAlignment="1">
      <alignment horizontal="left" vertical="center" indent="1"/>
    </xf>
    <xf numFmtId="0" fontId="112" fillId="9" borderId="356" xfId="0" applyFont="1" applyFill="1" applyBorder="1" applyAlignment="1">
      <alignment horizontal="right" vertical="center" indent="1"/>
    </xf>
    <xf numFmtId="0" fontId="112" fillId="9" borderId="357" xfId="0" applyFont="1" applyFill="1" applyBorder="1" applyAlignment="1">
      <alignment horizontal="right" vertical="center" indent="1"/>
    </xf>
    <xf numFmtId="0" fontId="112" fillId="9" borderId="397" xfId="0" applyFont="1" applyFill="1" applyBorder="1" applyAlignment="1">
      <alignment horizontal="right" vertical="center" indent="1"/>
    </xf>
    <xf numFmtId="4" fontId="121" fillId="2" borderId="401" xfId="0" applyNumberFormat="1" applyFont="1" applyFill="1" applyBorder="1" applyAlignment="1">
      <alignment horizontal="left" vertical="center" indent="1"/>
    </xf>
    <xf numFmtId="4" fontId="121" fillId="2" borderId="358" xfId="0" applyNumberFormat="1" applyFont="1" applyFill="1" applyBorder="1" applyAlignment="1">
      <alignment horizontal="left" vertical="center" indent="1"/>
    </xf>
    <xf numFmtId="0" fontId="112" fillId="9" borderId="359" xfId="0" applyFont="1" applyFill="1" applyBorder="1" applyAlignment="1">
      <alignment horizontal="right" vertical="center" indent="1"/>
    </xf>
    <xf numFmtId="0" fontId="112" fillId="9" borderId="360" xfId="0" applyFont="1" applyFill="1" applyBorder="1" applyAlignment="1">
      <alignment horizontal="right" vertical="center" indent="1"/>
    </xf>
    <xf numFmtId="0" fontId="112" fillId="9" borderId="398" xfId="0" applyFont="1" applyFill="1" applyBorder="1" applyAlignment="1">
      <alignment horizontal="right" vertical="center" indent="1"/>
    </xf>
    <xf numFmtId="4" fontId="121" fillId="2" borderId="402" xfId="0" applyNumberFormat="1" applyFont="1" applyFill="1" applyBorder="1" applyAlignment="1">
      <alignment horizontal="left" vertical="center" indent="1"/>
    </xf>
    <xf numFmtId="4" fontId="121" fillId="2" borderId="361" xfId="0" applyNumberFormat="1" applyFont="1" applyFill="1" applyBorder="1" applyAlignment="1">
      <alignment horizontal="left" vertical="center" indent="1"/>
    </xf>
    <xf numFmtId="3" fontId="121" fillId="2" borderId="267" xfId="0" applyNumberFormat="1" applyFont="1" applyFill="1" applyBorder="1" applyAlignment="1">
      <alignment horizontal="left" vertical="center" indent="1"/>
    </xf>
    <xf numFmtId="0" fontId="123" fillId="3" borderId="282" xfId="0" applyFont="1" applyFill="1" applyBorder="1" applyAlignment="1">
      <alignment horizontal="center" vertical="center"/>
    </xf>
    <xf numFmtId="0" fontId="124" fillId="9" borderId="283" xfId="0" applyFont="1" applyFill="1" applyBorder="1" applyAlignment="1">
      <alignment horizontal="right" vertical="center" indent="1"/>
    </xf>
    <xf numFmtId="0" fontId="123" fillId="9" borderId="283" xfId="0" applyFont="1" applyFill="1" applyBorder="1" applyAlignment="1">
      <alignment horizontal="right" vertical="center" indent="1"/>
    </xf>
    <xf numFmtId="3" fontId="117" fillId="3" borderId="283" xfId="0" applyNumberFormat="1" applyFont="1" applyFill="1" applyBorder="1" applyAlignment="1">
      <alignment horizontal="left" vertical="center" indent="1"/>
    </xf>
    <xf numFmtId="3" fontId="117" fillId="3" borderId="284" xfId="0" applyNumberFormat="1" applyFont="1" applyFill="1" applyBorder="1" applyAlignment="1">
      <alignment horizontal="left" vertical="center" indent="1"/>
    </xf>
    <xf numFmtId="0" fontId="112" fillId="9" borderId="19" xfId="0" applyFont="1" applyFill="1" applyBorder="1" applyAlignment="1">
      <alignment horizontal="right" vertical="center" indent="1"/>
    </xf>
    <xf numFmtId="1" fontId="113" fillId="3" borderId="20" xfId="0" applyNumberFormat="1" applyFont="1" applyFill="1" applyBorder="1" applyAlignment="1">
      <alignment horizontal="left" vertical="center" indent="1"/>
    </xf>
    <xf numFmtId="1" fontId="113" fillId="3" borderId="4" xfId="0" applyNumberFormat="1" applyFont="1" applyFill="1" applyBorder="1" applyAlignment="1">
      <alignment horizontal="left" vertical="center" indent="1"/>
    </xf>
    <xf numFmtId="0" fontId="112" fillId="37" borderId="380" xfId="0" applyFont="1" applyFill="1" applyBorder="1" applyAlignment="1">
      <alignment horizontal="right" vertical="center" indent="1"/>
    </xf>
    <xf numFmtId="0" fontId="112" fillId="37" borderId="248" xfId="0" applyFont="1" applyFill="1" applyBorder="1" applyAlignment="1">
      <alignment horizontal="right" vertical="center" indent="1"/>
    </xf>
    <xf numFmtId="3" fontId="112" fillId="37" borderId="248" xfId="0" applyNumberFormat="1" applyFont="1" applyFill="1" applyBorder="1" applyAlignment="1">
      <alignment horizontal="left" vertical="center" indent="1"/>
    </xf>
    <xf numFmtId="3" fontId="112" fillId="37" borderId="249" xfId="0" applyNumberFormat="1" applyFont="1" applyFill="1" applyBorder="1" applyAlignment="1">
      <alignment horizontal="left" vertical="center" indent="1"/>
    </xf>
    <xf numFmtId="0" fontId="113" fillId="5" borderId="32" xfId="0" applyFont="1" applyFill="1" applyBorder="1" applyAlignment="1">
      <alignment horizontal="right" vertical="center" indent="1"/>
    </xf>
    <xf numFmtId="0" fontId="113" fillId="9" borderId="33" xfId="0" applyFont="1" applyFill="1" applyBorder="1" applyAlignment="1">
      <alignment horizontal="right" vertical="center" indent="1"/>
    </xf>
    <xf numFmtId="3" fontId="112" fillId="3" borderId="33" xfId="0" applyNumberFormat="1" applyFont="1" applyFill="1" applyBorder="1" applyAlignment="1">
      <alignment horizontal="left" vertical="center" indent="1"/>
    </xf>
    <xf numFmtId="3" fontId="112" fillId="3" borderId="40" xfId="0" applyNumberFormat="1" applyFont="1" applyFill="1" applyBorder="1" applyAlignment="1">
      <alignment horizontal="left" vertical="center" indent="1"/>
    </xf>
    <xf numFmtId="3" fontId="112" fillId="3" borderId="20" xfId="0" applyNumberFormat="1" applyFont="1" applyFill="1" applyBorder="1" applyAlignment="1">
      <alignment horizontal="center" vertical="center"/>
    </xf>
    <xf numFmtId="3" fontId="112" fillId="3" borderId="4" xfId="0" applyNumberFormat="1" applyFont="1" applyFill="1" applyBorder="1" applyAlignment="1">
      <alignment horizontal="center" vertical="center"/>
    </xf>
    <xf numFmtId="0" fontId="112" fillId="9" borderId="32" xfId="0" applyFont="1" applyFill="1" applyBorder="1" applyAlignment="1">
      <alignment horizontal="right" vertical="center" indent="1"/>
    </xf>
    <xf numFmtId="0" fontId="112" fillId="0" borderId="62" xfId="0" applyFont="1" applyBorder="1"/>
    <xf numFmtId="0" fontId="112" fillId="0" borderId="49" xfId="0" applyFont="1" applyBorder="1"/>
    <xf numFmtId="3" fontId="112" fillId="3" borderId="49" xfId="0" applyNumberFormat="1" applyFont="1" applyFill="1" applyBorder="1" applyAlignment="1">
      <alignment horizontal="left" indent="1"/>
    </xf>
    <xf numFmtId="3" fontId="112" fillId="3" borderId="57" xfId="0" applyNumberFormat="1" applyFont="1" applyFill="1" applyBorder="1" applyAlignment="1">
      <alignment horizontal="left" indent="1"/>
    </xf>
    <xf numFmtId="0" fontId="112" fillId="37" borderId="32" xfId="0" applyFont="1" applyFill="1" applyBorder="1"/>
    <xf numFmtId="0" fontId="112" fillId="37" borderId="33" xfId="0" applyFont="1" applyFill="1" applyBorder="1"/>
    <xf numFmtId="0" fontId="112" fillId="37" borderId="33" xfId="0" applyFont="1" applyFill="1" applyBorder="1" applyAlignment="1">
      <alignment horizontal="right" vertical="center" indent="1"/>
    </xf>
    <xf numFmtId="3" fontId="112" fillId="37" borderId="33" xfId="0" applyNumberFormat="1" applyFont="1" applyFill="1" applyBorder="1" applyAlignment="1">
      <alignment horizontal="left" indent="1"/>
    </xf>
    <xf numFmtId="3" fontId="112" fillId="37" borderId="40" xfId="0" applyNumberFormat="1" applyFont="1" applyFill="1" applyBorder="1" applyAlignment="1">
      <alignment horizontal="left" indent="1"/>
    </xf>
    <xf numFmtId="0" fontId="112" fillId="37" borderId="19" xfId="0" applyFont="1" applyFill="1" applyBorder="1"/>
    <xf numFmtId="0" fontId="112" fillId="37" borderId="20" xfId="0" applyFont="1" applyFill="1" applyBorder="1"/>
    <xf numFmtId="0" fontId="112" fillId="37" borderId="20" xfId="0" applyFont="1" applyFill="1" applyBorder="1" applyAlignment="1">
      <alignment horizontal="right" indent="1"/>
    </xf>
    <xf numFmtId="3" fontId="112" fillId="37" borderId="20" xfId="0" applyNumberFormat="1" applyFont="1" applyFill="1" applyBorder="1" applyAlignment="1">
      <alignment horizontal="left" indent="1"/>
    </xf>
    <xf numFmtId="3" fontId="112" fillId="37" borderId="4" xfId="0" applyNumberFormat="1" applyFont="1" applyFill="1" applyBorder="1" applyAlignment="1">
      <alignment horizontal="left" indent="1"/>
    </xf>
    <xf numFmtId="0" fontId="112" fillId="0" borderId="32" xfId="0" applyFont="1" applyBorder="1"/>
    <xf numFmtId="0" fontId="112" fillId="0" borderId="33" xfId="0" applyFont="1" applyBorder="1"/>
    <xf numFmtId="3" fontId="112" fillId="3" borderId="33" xfId="0" applyNumberFormat="1" applyFont="1" applyFill="1" applyBorder="1" applyAlignment="1">
      <alignment horizontal="left" indent="1"/>
    </xf>
    <xf numFmtId="3" fontId="112" fillId="3" borderId="40" xfId="0" applyNumberFormat="1" applyFont="1" applyFill="1" applyBorder="1" applyAlignment="1">
      <alignment horizontal="left" indent="1"/>
    </xf>
    <xf numFmtId="3" fontId="112" fillId="3" borderId="13" xfId="0" applyNumberFormat="1" applyFont="1" applyFill="1" applyBorder="1" applyAlignment="1">
      <alignment horizontal="left" indent="1"/>
    </xf>
    <xf numFmtId="3" fontId="112" fillId="3" borderId="24" xfId="0" applyNumberFormat="1" applyFont="1" applyFill="1" applyBorder="1" applyAlignment="1">
      <alignment horizontal="left" indent="1"/>
    </xf>
    <xf numFmtId="167" fontId="112" fillId="3" borderId="13" xfId="0" applyNumberFormat="1" applyFont="1" applyFill="1" applyBorder="1" applyAlignment="1">
      <alignment horizontal="left" indent="1"/>
    </xf>
    <xf numFmtId="167" fontId="112" fillId="3" borderId="24" xfId="0" applyNumberFormat="1" applyFont="1" applyFill="1" applyBorder="1" applyAlignment="1">
      <alignment horizontal="left" indent="1"/>
    </xf>
    <xf numFmtId="167" fontId="112" fillId="3" borderId="20" xfId="0" applyNumberFormat="1" applyFont="1" applyFill="1" applyBorder="1" applyAlignment="1">
      <alignment horizontal="left" indent="1"/>
    </xf>
    <xf numFmtId="167" fontId="112" fillId="3" borderId="4" xfId="0" applyNumberFormat="1" applyFont="1" applyFill="1" applyBorder="1" applyAlignment="1">
      <alignment horizontal="left" indent="1"/>
    </xf>
    <xf numFmtId="167" fontId="112" fillId="37" borderId="248" xfId="0" applyNumberFormat="1" applyFont="1" applyFill="1" applyBorder="1" applyAlignment="1">
      <alignment horizontal="left" vertical="center" indent="1"/>
    </xf>
    <xf numFmtId="0" fontId="112" fillId="9" borderId="318" xfId="0" applyFont="1" applyFill="1" applyBorder="1" applyAlignment="1">
      <alignment horizontal="right" vertical="center" indent="1"/>
    </xf>
    <xf numFmtId="0" fontId="112" fillId="9" borderId="97" xfId="0" applyFont="1" applyFill="1" applyBorder="1" applyAlignment="1">
      <alignment horizontal="right" vertical="center" indent="1"/>
    </xf>
    <xf numFmtId="3" fontId="112" fillId="3" borderId="97" xfId="0" applyNumberFormat="1" applyFont="1" applyFill="1" applyBorder="1" applyAlignment="1">
      <alignment horizontal="left" vertical="center" indent="1"/>
    </xf>
    <xf numFmtId="3" fontId="112" fillId="3" borderId="319" xfId="0" applyNumberFormat="1" applyFont="1" applyFill="1" applyBorder="1" applyAlignment="1">
      <alignment horizontal="left" vertical="center" indent="1"/>
    </xf>
    <xf numFmtId="0" fontId="112" fillId="37" borderId="296" xfId="0" applyFont="1" applyFill="1" applyBorder="1" applyAlignment="1">
      <alignment horizontal="right" vertical="center" indent="1"/>
    </xf>
    <xf numFmtId="0" fontId="112" fillId="37" borderId="63" xfId="0" applyFont="1" applyFill="1" applyBorder="1" applyAlignment="1">
      <alignment horizontal="right" vertical="center" indent="1"/>
    </xf>
    <xf numFmtId="167" fontId="112" fillId="37" borderId="63" xfId="0" applyNumberFormat="1" applyFont="1" applyFill="1" applyBorder="1" applyAlignment="1">
      <alignment horizontal="left" vertical="center" indent="1"/>
    </xf>
    <xf numFmtId="0" fontId="123" fillId="3" borderId="184" xfId="0" applyFont="1" applyFill="1" applyBorder="1" applyAlignment="1">
      <alignment horizontal="center" vertical="center"/>
    </xf>
    <xf numFmtId="0" fontId="118" fillId="9" borderId="185" xfId="0" applyFont="1" applyFill="1" applyBorder="1" applyAlignment="1">
      <alignment horizontal="right" vertical="center" indent="1"/>
    </xf>
    <xf numFmtId="0" fontId="123" fillId="9" borderId="185" xfId="0" applyFont="1" applyFill="1" applyBorder="1" applyAlignment="1">
      <alignment horizontal="right" vertical="center" indent="1"/>
    </xf>
    <xf numFmtId="3" fontId="117" fillId="3" borderId="185" xfId="0" applyNumberFormat="1" applyFont="1" applyFill="1" applyBorder="1" applyAlignment="1">
      <alignment horizontal="left" vertical="center" indent="1"/>
    </xf>
    <xf numFmtId="3" fontId="117" fillId="3" borderId="94" xfId="0" applyNumberFormat="1" applyFont="1" applyFill="1" applyBorder="1" applyAlignment="1">
      <alignment horizontal="left" vertical="center" indent="1"/>
    </xf>
    <xf numFmtId="0" fontId="112" fillId="0" borderId="282" xfId="0" applyFont="1" applyBorder="1"/>
    <xf numFmtId="0" fontId="112" fillId="0" borderId="283" xfId="0" applyFont="1" applyBorder="1"/>
    <xf numFmtId="3" fontId="112" fillId="3" borderId="283" xfId="0" applyNumberFormat="1" applyFont="1" applyFill="1" applyBorder="1" applyAlignment="1">
      <alignment horizontal="left" indent="1"/>
    </xf>
    <xf numFmtId="3" fontId="112" fillId="3" borderId="20" xfId="0" applyNumberFormat="1" applyFont="1" applyFill="1" applyBorder="1" applyAlignment="1">
      <alignment horizontal="left" indent="1"/>
    </xf>
    <xf numFmtId="3" fontId="112" fillId="3" borderId="4" xfId="0" applyNumberFormat="1" applyFont="1" applyFill="1" applyBorder="1" applyAlignment="1">
      <alignment horizontal="left" indent="1"/>
    </xf>
    <xf numFmtId="0" fontId="113" fillId="9" borderId="410" xfId="0" applyFont="1" applyFill="1" applyBorder="1" applyAlignment="1">
      <alignment horizontal="center" vertical="center"/>
    </xf>
    <xf numFmtId="0" fontId="113" fillId="0" borderId="0" xfId="0" applyFont="1" applyAlignment="1">
      <alignment horizontal="left" indent="1"/>
    </xf>
    <xf numFmtId="3" fontId="20" fillId="6" borderId="283" xfId="0" applyNumberFormat="1" applyFont="1" applyFill="1" applyBorder="1" applyAlignment="1">
      <alignment horizontal="left" vertical="center"/>
    </xf>
    <xf numFmtId="0" fontId="32" fillId="6" borderId="15" xfId="0" applyFont="1" applyFill="1" applyBorder="1" applyAlignment="1">
      <alignment horizontal="center" vertical="center"/>
    </xf>
    <xf numFmtId="3" fontId="33" fillId="6" borderId="35" xfId="0" applyNumberFormat="1" applyFont="1" applyFill="1" applyBorder="1" applyAlignment="1">
      <alignment horizontal="center" vertical="center"/>
    </xf>
    <xf numFmtId="0" fontId="32" fillId="6" borderId="17" xfId="0" applyFont="1" applyFill="1" applyBorder="1" applyAlignment="1">
      <alignment horizontal="center" vertical="center"/>
    </xf>
    <xf numFmtId="3" fontId="32" fillId="6" borderId="13" xfId="0" applyNumberFormat="1" applyFont="1" applyFill="1" applyBorder="1" applyAlignment="1">
      <alignment horizontal="center" vertical="center"/>
    </xf>
    <xf numFmtId="3" fontId="33" fillId="6" borderId="14" xfId="0" applyNumberFormat="1" applyFont="1" applyFill="1" applyBorder="1" applyAlignment="1">
      <alignment horizontal="center" vertical="center"/>
    </xf>
    <xf numFmtId="0" fontId="111" fillId="5" borderId="0" xfId="0" applyFont="1" applyFill="1" applyBorder="1" applyAlignment="1">
      <alignment horizontal="center" vertical="center"/>
    </xf>
    <xf numFmtId="3" fontId="53" fillId="5" borderId="0" xfId="0" applyNumberFormat="1" applyFont="1" applyFill="1" applyBorder="1" applyAlignment="1">
      <alignment horizontal="center"/>
    </xf>
    <xf numFmtId="3" fontId="37" fillId="5" borderId="0" xfId="0" applyNumberFormat="1" applyFont="1" applyFill="1" applyBorder="1" applyAlignment="1">
      <alignment horizontal="center"/>
    </xf>
    <xf numFmtId="0" fontId="112" fillId="0" borderId="53" xfId="0" applyFont="1" applyBorder="1" applyAlignment="1">
      <alignment horizontal="right" indent="1"/>
    </xf>
    <xf numFmtId="0" fontId="112" fillId="0" borderId="51" xfId="0" applyFont="1" applyBorder="1" applyAlignment="1">
      <alignment horizontal="right" indent="1"/>
    </xf>
    <xf numFmtId="3" fontId="26" fillId="3" borderId="20" xfId="0" applyNumberFormat="1" applyFont="1" applyFill="1" applyBorder="1" applyAlignment="1">
      <alignment horizontal="center" vertical="center"/>
    </xf>
    <xf numFmtId="3" fontId="34" fillId="3" borderId="89" xfId="0" applyNumberFormat="1" applyFont="1" applyFill="1" applyBorder="1" applyAlignment="1">
      <alignment horizontal="center"/>
    </xf>
    <xf numFmtId="3" fontId="20" fillId="3" borderId="1" xfId="0" applyNumberFormat="1" applyFont="1" applyFill="1" applyBorder="1" applyAlignment="1">
      <alignment horizontal="center" vertical="center"/>
    </xf>
    <xf numFmtId="0" fontId="24" fillId="9" borderId="67" xfId="0" applyFont="1" applyFill="1" applyBorder="1" applyAlignment="1">
      <alignment horizontal="center" vertical="center"/>
    </xf>
    <xf numFmtId="0" fontId="31" fillId="9" borderId="68" xfId="0" applyFont="1" applyFill="1" applyBorder="1" applyAlignment="1">
      <alignment horizontal="center" vertical="center"/>
    </xf>
    <xf numFmtId="0" fontId="24" fillId="9" borderId="68" xfId="0" applyFont="1" applyFill="1" applyBorder="1" applyAlignment="1">
      <alignment horizontal="center" vertical="center"/>
    </xf>
    <xf numFmtId="0" fontId="24" fillId="9" borderId="68" xfId="0" applyFont="1" applyFill="1" applyBorder="1" applyAlignment="1">
      <alignment vertical="center"/>
    </xf>
    <xf numFmtId="0" fontId="0" fillId="9" borderId="69" xfId="0" applyFont="1" applyFill="1" applyBorder="1" applyAlignment="1">
      <alignment horizontal="center" vertical="center"/>
    </xf>
    <xf numFmtId="3" fontId="0" fillId="5" borderId="88" xfId="0" applyNumberFormat="1" applyFont="1" applyFill="1" applyBorder="1" applyAlignment="1">
      <alignment horizontal="center" vertical="center"/>
    </xf>
    <xf numFmtId="0" fontId="0" fillId="9" borderId="0" xfId="0" applyFont="1" applyFill="1" applyAlignment="1">
      <alignment horizontal="right" vertical="center" indent="1"/>
    </xf>
    <xf numFmtId="3" fontId="24" fillId="0" borderId="88" xfId="0" applyNumberFormat="1" applyFont="1" applyBorder="1" applyAlignment="1">
      <alignment horizontal="center"/>
    </xf>
    <xf numFmtId="3" fontId="24" fillId="5" borderId="0" xfId="0" applyNumberFormat="1" applyFont="1" applyFill="1" applyBorder="1" applyAlignment="1">
      <alignment horizontal="center"/>
    </xf>
    <xf numFmtId="165" fontId="24" fillId="9" borderId="0" xfId="0" applyNumberFormat="1" applyFont="1" applyFill="1" applyBorder="1" applyAlignment="1">
      <alignment horizontal="left" vertical="center" indent="2"/>
    </xf>
    <xf numFmtId="165" fontId="24" fillId="9" borderId="0" xfId="0" applyNumberFormat="1" applyFont="1" applyFill="1" applyBorder="1" applyAlignment="1">
      <alignment horizontal="center" vertical="center"/>
    </xf>
    <xf numFmtId="165" fontId="24" fillId="5" borderId="0" xfId="0" applyNumberFormat="1" applyFont="1" applyFill="1" applyBorder="1" applyAlignment="1">
      <alignment horizontal="center" vertical="center"/>
    </xf>
    <xf numFmtId="0" fontId="24" fillId="9" borderId="410" xfId="0" applyFont="1" applyFill="1" applyBorder="1" applyAlignment="1">
      <alignment horizontal="center" vertical="center"/>
    </xf>
    <xf numFmtId="0" fontId="31" fillId="9" borderId="283" xfId="0" applyFont="1" applyFill="1" applyBorder="1" applyAlignment="1">
      <alignment horizontal="center" vertical="center"/>
    </xf>
    <xf numFmtId="0" fontId="24" fillId="9" borderId="283" xfId="0" applyFont="1" applyFill="1" applyBorder="1" applyAlignment="1">
      <alignment horizontal="center" vertical="center"/>
    </xf>
    <xf numFmtId="0" fontId="24" fillId="9" borderId="283" xfId="0" applyFont="1" applyFill="1" applyBorder="1" applyAlignment="1">
      <alignment vertical="center"/>
    </xf>
    <xf numFmtId="0" fontId="0" fillId="9" borderId="284" xfId="0" applyFont="1" applyFill="1" applyBorder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31" fillId="9" borderId="20" xfId="0" applyFont="1" applyFill="1" applyBorder="1" applyAlignment="1">
      <alignment horizontal="center" vertical="center"/>
    </xf>
    <xf numFmtId="49" fontId="24" fillId="9" borderId="20" xfId="0" applyNumberFormat="1" applyFont="1" applyFill="1" applyBorder="1" applyAlignment="1">
      <alignment horizontal="center" vertical="center"/>
    </xf>
    <xf numFmtId="0" fontId="24" fillId="9" borderId="4" xfId="0" applyFont="1" applyFill="1" applyBorder="1" applyAlignment="1">
      <alignment horizontal="center" vertical="center"/>
    </xf>
    <xf numFmtId="3" fontId="0" fillId="5" borderId="89" xfId="0" applyNumberFormat="1" applyFont="1" applyFill="1" applyBorder="1" applyAlignment="1">
      <alignment horizontal="center" vertical="center"/>
    </xf>
    <xf numFmtId="0" fontId="24" fillId="5" borderId="163" xfId="0" applyFont="1" applyFill="1" applyBorder="1" applyAlignment="1">
      <alignment horizontal="center" vertical="center"/>
    </xf>
    <xf numFmtId="3" fontId="24" fillId="9" borderId="89" xfId="0" applyNumberFormat="1" applyFont="1" applyFill="1" applyBorder="1" applyAlignment="1">
      <alignment horizontal="center" vertical="center"/>
    </xf>
    <xf numFmtId="3" fontId="24" fillId="5" borderId="0" xfId="0" applyNumberFormat="1" applyFont="1" applyFill="1" applyBorder="1" applyAlignment="1">
      <alignment horizontal="center" vertical="center"/>
    </xf>
    <xf numFmtId="165" fontId="24" fillId="9" borderId="0" xfId="0" applyNumberFormat="1" applyFont="1" applyFill="1" applyBorder="1" applyAlignment="1">
      <alignment horizontal="left" vertical="center" indent="4"/>
    </xf>
    <xf numFmtId="165" fontId="24" fillId="9" borderId="0" xfId="0" applyNumberFormat="1" applyFont="1" applyFill="1" applyBorder="1" applyAlignment="1">
      <alignment horizontal="left" vertical="center"/>
    </xf>
    <xf numFmtId="165" fontId="24" fillId="9" borderId="0" xfId="0" applyNumberFormat="1" applyFont="1" applyFill="1" applyBorder="1" applyAlignment="1">
      <alignment horizontal="left" vertical="center" indent="3"/>
    </xf>
    <xf numFmtId="0" fontId="0" fillId="9" borderId="0" xfId="0" applyFont="1" applyFill="1" applyBorder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24" fillId="9" borderId="0" xfId="0" applyFont="1" applyFill="1" applyAlignment="1">
      <alignment horizontal="center" vertical="center"/>
    </xf>
    <xf numFmtId="0" fontId="0" fillId="9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2" fontId="0" fillId="9" borderId="386" xfId="0" applyNumberFormat="1" applyFont="1" applyFill="1" applyBorder="1" applyAlignment="1">
      <alignment horizontal="center" vertical="center"/>
    </xf>
    <xf numFmtId="167" fontId="0" fillId="9" borderId="386" xfId="0" applyNumberFormat="1" applyFont="1" applyFill="1" applyBorder="1" applyAlignment="1">
      <alignment horizontal="center" vertical="center"/>
    </xf>
    <xf numFmtId="167" fontId="0" fillId="9" borderId="39" xfId="0" applyNumberFormat="1" applyFont="1" applyFill="1" applyBorder="1" applyAlignment="1">
      <alignment horizontal="center" vertical="center"/>
    </xf>
    <xf numFmtId="165" fontId="0" fillId="9" borderId="39" xfId="0" applyNumberFormat="1" applyFont="1" applyFill="1" applyBorder="1" applyAlignment="1">
      <alignment horizontal="center" vertical="center"/>
    </xf>
    <xf numFmtId="166" fontId="0" fillId="9" borderId="386" xfId="0" applyNumberFormat="1" applyFont="1" applyFill="1" applyBorder="1" applyAlignment="1">
      <alignment horizontal="center" vertical="center"/>
    </xf>
    <xf numFmtId="3" fontId="24" fillId="9" borderId="163" xfId="0" applyNumberFormat="1" applyFont="1" applyFill="1" applyBorder="1" applyAlignment="1">
      <alignment horizontal="right" vertical="center" indent="1"/>
    </xf>
    <xf numFmtId="165" fontId="24" fillId="9" borderId="163" xfId="0" applyNumberFormat="1" applyFont="1" applyFill="1" applyBorder="1" applyAlignment="1">
      <alignment horizontal="right" vertical="center" indent="1"/>
    </xf>
    <xf numFmtId="3" fontId="24" fillId="9" borderId="90" xfId="0" applyNumberFormat="1" applyFont="1" applyFill="1" applyBorder="1" applyAlignment="1">
      <alignment horizontal="center" vertical="center"/>
    </xf>
    <xf numFmtId="165" fontId="24" fillId="9" borderId="0" xfId="0" applyNumberFormat="1" applyFont="1" applyFill="1" applyAlignment="1">
      <alignment horizontal="right" vertical="center" indent="1"/>
    </xf>
    <xf numFmtId="0" fontId="24" fillId="6" borderId="363" xfId="0" applyFont="1" applyFill="1" applyBorder="1" applyAlignment="1">
      <alignment horizontal="left" vertical="center" indent="1"/>
    </xf>
    <xf numFmtId="0" fontId="31" fillId="6" borderId="364" xfId="0" applyFont="1" applyFill="1" applyBorder="1" applyAlignment="1">
      <alignment horizontal="center" vertical="center"/>
    </xf>
    <xf numFmtId="3" fontId="33" fillId="4" borderId="364" xfId="0" applyNumberFormat="1" applyFont="1" applyFill="1" applyBorder="1" applyAlignment="1">
      <alignment horizontal="center" vertical="center"/>
    </xf>
    <xf numFmtId="0" fontId="0" fillId="6" borderId="364" xfId="0" applyFont="1" applyFill="1" applyBorder="1" applyAlignment="1">
      <alignment horizontal="center" vertical="center"/>
    </xf>
    <xf numFmtId="1" fontId="33" fillId="4" borderId="365" xfId="0" applyNumberFormat="1" applyFont="1" applyFill="1" applyBorder="1" applyAlignment="1">
      <alignment horizontal="center" vertical="center"/>
    </xf>
    <xf numFmtId="3" fontId="33" fillId="5" borderId="89" xfId="0" applyNumberFormat="1" applyFont="1" applyFill="1" applyBorder="1" applyAlignment="1">
      <alignment horizontal="center" vertical="center"/>
    </xf>
    <xf numFmtId="1" fontId="24" fillId="5" borderId="0" xfId="0" applyNumberFormat="1" applyFont="1" applyFill="1" applyBorder="1" applyAlignment="1">
      <alignment horizontal="center" vertical="center"/>
    </xf>
    <xf numFmtId="2" fontId="0" fillId="7" borderId="251" xfId="0" applyNumberFormat="1" applyFont="1" applyFill="1" applyBorder="1" applyAlignment="1">
      <alignment horizontal="center" vertical="center"/>
    </xf>
    <xf numFmtId="167" fontId="0" fillId="7" borderId="27" xfId="0" applyNumberFormat="1" applyFont="1" applyFill="1" applyBorder="1" applyAlignment="1">
      <alignment horizontal="center" vertical="center"/>
    </xf>
    <xf numFmtId="167" fontId="0" fillId="7" borderId="26" xfId="0" applyNumberFormat="1" applyFont="1" applyFill="1" applyBorder="1" applyAlignment="1">
      <alignment horizontal="center" vertical="center"/>
    </xf>
    <xf numFmtId="165" fontId="0" fillId="7" borderId="26" xfId="0" applyNumberFormat="1" applyFont="1" applyFill="1" applyBorder="1" applyAlignment="1">
      <alignment horizontal="center" vertical="center"/>
    </xf>
    <xf numFmtId="166" fontId="0" fillId="7" borderId="26" xfId="0" applyNumberFormat="1" applyFont="1" applyFill="1" applyBorder="1" applyAlignment="1">
      <alignment horizontal="center" vertical="center"/>
    </xf>
    <xf numFmtId="3" fontId="24" fillId="7" borderId="184" xfId="0" applyNumberFormat="1" applyFont="1" applyFill="1" applyBorder="1" applyAlignment="1">
      <alignment horizontal="right" vertical="center" indent="1"/>
    </xf>
    <xf numFmtId="165" fontId="24" fillId="6" borderId="385" xfId="0" applyNumberFormat="1" applyFont="1" applyFill="1" applyBorder="1" applyAlignment="1">
      <alignment horizontal="center" vertical="center"/>
    </xf>
    <xf numFmtId="3" fontId="24" fillId="6" borderId="85" xfId="0" applyNumberFormat="1" applyFont="1" applyFill="1" applyBorder="1" applyAlignment="1">
      <alignment horizontal="center" vertical="center"/>
    </xf>
    <xf numFmtId="3" fontId="0" fillId="5" borderId="0" xfId="0" applyNumberFormat="1" applyFont="1" applyFill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center" vertical="center"/>
    </xf>
    <xf numFmtId="3" fontId="24" fillId="6" borderId="417" xfId="0" applyNumberFormat="1" applyFont="1" applyFill="1" applyBorder="1" applyAlignment="1">
      <alignment horizontal="left" vertical="center" indent="1"/>
    </xf>
    <xf numFmtId="3" fontId="31" fillId="6" borderId="418" xfId="0" applyNumberFormat="1" applyFont="1" applyFill="1" applyBorder="1" applyAlignment="1">
      <alignment horizontal="center" vertical="center"/>
    </xf>
    <xf numFmtId="3" fontId="33" fillId="4" borderId="418" xfId="0" applyNumberFormat="1" applyFont="1" applyFill="1" applyBorder="1" applyAlignment="1">
      <alignment horizontal="center" vertical="center"/>
    </xf>
    <xf numFmtId="3" fontId="0" fillId="6" borderId="418" xfId="0" applyNumberFormat="1" applyFont="1" applyFill="1" applyBorder="1" applyAlignment="1">
      <alignment horizontal="center" vertical="center"/>
    </xf>
    <xf numFmtId="3" fontId="33" fillId="4" borderId="419" xfId="0" applyNumberFormat="1" applyFont="1" applyFill="1" applyBorder="1" applyAlignment="1">
      <alignment horizontal="center" vertical="center"/>
    </xf>
    <xf numFmtId="0" fontId="32" fillId="5" borderId="362" xfId="0" applyFont="1" applyFill="1" applyBorder="1" applyAlignment="1">
      <alignment horizontal="center" vertical="center"/>
    </xf>
    <xf numFmtId="0" fontId="43" fillId="2" borderId="33" xfId="0" applyFont="1" applyFill="1" applyBorder="1" applyAlignment="1">
      <alignment horizontal="center" vertical="center"/>
    </xf>
    <xf numFmtId="1" fontId="24" fillId="5" borderId="33" xfId="0" applyNumberFormat="1" applyFont="1" applyFill="1" applyBorder="1" applyAlignment="1">
      <alignment horizontal="center" vertical="center"/>
    </xf>
    <xf numFmtId="3" fontId="0" fillId="5" borderId="275" xfId="0" applyNumberFormat="1" applyFont="1" applyFill="1" applyBorder="1" applyAlignment="1">
      <alignment horizontal="center" vertical="center"/>
    </xf>
    <xf numFmtId="0" fontId="32" fillId="5" borderId="370" xfId="0" applyFont="1" applyFill="1" applyBorder="1" applyAlignment="1">
      <alignment horizontal="center" vertical="center"/>
    </xf>
    <xf numFmtId="0" fontId="31" fillId="2" borderId="46" xfId="0" applyFont="1" applyFill="1" applyBorder="1" applyAlignment="1">
      <alignment horizontal="center" vertical="center"/>
    </xf>
    <xf numFmtId="0" fontId="31" fillId="5" borderId="46" xfId="0" applyFont="1" applyFill="1" applyBorder="1" applyAlignment="1">
      <alignment horizontal="center" vertical="center"/>
    </xf>
    <xf numFmtId="0" fontId="32" fillId="5" borderId="46" xfId="0" applyFont="1" applyFill="1" applyBorder="1" applyAlignment="1">
      <alignment horizontal="center" vertical="center"/>
    </xf>
    <xf numFmtId="3" fontId="0" fillId="5" borderId="371" xfId="0" applyNumberFormat="1" applyFont="1" applyFill="1" applyBorder="1" applyAlignment="1">
      <alignment horizontal="center" vertical="center"/>
    </xf>
    <xf numFmtId="3" fontId="0" fillId="5" borderId="75" xfId="0" applyNumberFormat="1" applyFont="1" applyFill="1" applyBorder="1" applyAlignment="1">
      <alignment horizontal="center" vertical="center"/>
    </xf>
    <xf numFmtId="2" fontId="0" fillId="5" borderId="17" xfId="0" applyNumberFormat="1" applyFont="1" applyFill="1" applyBorder="1" applyAlignment="1">
      <alignment horizontal="center" vertical="center"/>
    </xf>
    <xf numFmtId="167" fontId="0" fillId="5" borderId="13" xfId="0" applyNumberFormat="1" applyFont="1" applyFill="1" applyBorder="1" applyAlignment="1">
      <alignment horizontal="center" vertical="center"/>
    </xf>
    <xf numFmtId="167" fontId="0" fillId="5" borderId="14" xfId="0" applyNumberFormat="1" applyFont="1" applyFill="1" applyBorder="1" applyAlignment="1">
      <alignment horizontal="center" vertical="center"/>
    </xf>
    <xf numFmtId="165" fontId="0" fillId="5" borderId="14" xfId="0" applyNumberFormat="1" applyFont="1" applyFill="1" applyBorder="1" applyAlignment="1">
      <alignment horizontal="center" vertical="center"/>
    </xf>
    <xf numFmtId="166" fontId="0" fillId="5" borderId="14" xfId="0" applyNumberFormat="1" applyFont="1" applyFill="1" applyBorder="1" applyAlignment="1">
      <alignment horizontal="center" vertical="center"/>
    </xf>
    <xf numFmtId="3" fontId="0" fillId="3" borderId="17" xfId="0" applyNumberFormat="1" applyFont="1" applyFill="1" applyBorder="1" applyAlignment="1">
      <alignment horizontal="right" vertical="center" indent="1"/>
    </xf>
    <xf numFmtId="165" fontId="0" fillId="3" borderId="24" xfId="0" applyNumberFormat="1" applyFont="1" applyFill="1" applyBorder="1" applyAlignment="1">
      <alignment horizontal="right" vertical="center" indent="1"/>
    </xf>
    <xf numFmtId="3" fontId="0" fillId="5" borderId="220" xfId="0" applyNumberFormat="1" applyFont="1" applyFill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right" vertical="center" indent="1"/>
    </xf>
    <xf numFmtId="3" fontId="32" fillId="5" borderId="17" xfId="0" applyNumberFormat="1" applyFont="1" applyFill="1" applyBorder="1" applyAlignment="1">
      <alignment horizontal="center" vertical="center"/>
    </xf>
    <xf numFmtId="3" fontId="31" fillId="2" borderId="13" xfId="0" applyNumberFormat="1" applyFont="1" applyFill="1" applyBorder="1" applyAlignment="1">
      <alignment horizontal="center" vertical="center"/>
    </xf>
    <xf numFmtId="3" fontId="31" fillId="5" borderId="13" xfId="0" applyNumberFormat="1" applyFont="1" applyFill="1" applyBorder="1" applyAlignment="1">
      <alignment horizontal="center" vertical="center"/>
    </xf>
    <xf numFmtId="0" fontId="32" fillId="5" borderId="270" xfId="0" applyFont="1" applyFill="1" applyBorder="1" applyAlignment="1">
      <alignment horizontal="center" vertical="center"/>
    </xf>
    <xf numFmtId="0" fontId="43" fillId="2" borderId="13" xfId="0" applyFont="1" applyFill="1" applyBorder="1" applyAlignment="1">
      <alignment horizontal="center" vertical="center"/>
    </xf>
    <xf numFmtId="1" fontId="24" fillId="5" borderId="13" xfId="0" applyNumberFormat="1" applyFont="1" applyFill="1" applyBorder="1" applyAlignment="1">
      <alignment horizontal="center" vertical="center"/>
    </xf>
    <xf numFmtId="3" fontId="0" fillId="5" borderId="348" xfId="0" applyNumberFormat="1" applyFont="1" applyFill="1" applyBorder="1" applyAlignment="1">
      <alignment horizontal="center" vertical="center"/>
    </xf>
    <xf numFmtId="0" fontId="32" fillId="5" borderId="366" xfId="0" applyFont="1" applyFill="1" applyBorder="1" applyAlignment="1">
      <alignment horizontal="center" vertical="center"/>
    </xf>
    <xf numFmtId="0" fontId="43" fillId="2" borderId="49" xfId="0" applyFont="1" applyFill="1" applyBorder="1" applyAlignment="1">
      <alignment horizontal="center" vertical="center"/>
    </xf>
    <xf numFmtId="1" fontId="24" fillId="5" borderId="49" xfId="0" applyNumberFormat="1" applyFont="1" applyFill="1" applyBorder="1" applyAlignment="1">
      <alignment horizontal="center" vertical="center"/>
    </xf>
    <xf numFmtId="3" fontId="0" fillId="5" borderId="49" xfId="0" applyNumberFormat="1" applyFont="1" applyFill="1" applyBorder="1" applyAlignment="1">
      <alignment horizontal="center" vertical="center"/>
    </xf>
    <xf numFmtId="3" fontId="0" fillId="5" borderId="367" xfId="0" applyNumberFormat="1" applyFont="1" applyFill="1" applyBorder="1" applyAlignment="1">
      <alignment horizontal="center" vertical="center"/>
    </xf>
    <xf numFmtId="3" fontId="0" fillId="5" borderId="72" xfId="0" applyNumberFormat="1" applyFont="1" applyFill="1" applyBorder="1" applyAlignment="1">
      <alignment horizontal="center" vertical="center"/>
    </xf>
    <xf numFmtId="2" fontId="0" fillId="5" borderId="19" xfId="0" applyNumberFormat="1" applyFont="1" applyFill="1" applyBorder="1" applyAlignment="1">
      <alignment horizontal="center" vertical="center"/>
    </xf>
    <xf numFmtId="167" fontId="0" fillId="5" borderId="20" xfId="0" applyNumberFormat="1" applyFont="1" applyFill="1" applyBorder="1" applyAlignment="1">
      <alignment horizontal="center" vertical="center"/>
    </xf>
    <xf numFmtId="167" fontId="0" fillId="5" borderId="38" xfId="0" applyNumberFormat="1" applyFont="1" applyFill="1" applyBorder="1" applyAlignment="1">
      <alignment horizontal="center" vertical="center"/>
    </xf>
    <xf numFmtId="165" fontId="0" fillId="5" borderId="38" xfId="0" applyNumberFormat="1" applyFont="1" applyFill="1" applyBorder="1" applyAlignment="1">
      <alignment horizontal="center" vertical="center"/>
    </xf>
    <xf numFmtId="166" fontId="0" fillId="5" borderId="4" xfId="0" applyNumberFormat="1" applyFont="1" applyFill="1" applyBorder="1" applyAlignment="1">
      <alignment horizontal="center" vertical="center"/>
    </xf>
    <xf numFmtId="3" fontId="0" fillId="3" borderId="19" xfId="0" applyNumberFormat="1" applyFont="1" applyFill="1" applyBorder="1" applyAlignment="1">
      <alignment horizontal="right" vertical="center" indent="1"/>
    </xf>
    <xf numFmtId="165" fontId="0" fillId="3" borderId="4" xfId="0" applyNumberFormat="1" applyFont="1" applyFill="1" applyBorder="1" applyAlignment="1">
      <alignment horizontal="right" vertical="center" indent="1"/>
    </xf>
    <xf numFmtId="3" fontId="0" fillId="5" borderId="225" xfId="0" applyNumberFormat="1" applyFont="1" applyFill="1" applyBorder="1" applyAlignment="1">
      <alignment horizontal="center" vertical="center"/>
    </xf>
    <xf numFmtId="166" fontId="0" fillId="5" borderId="38" xfId="0" applyNumberFormat="1" applyFont="1" applyFill="1" applyBorder="1" applyAlignment="1">
      <alignment horizontal="center" vertical="center"/>
    </xf>
    <xf numFmtId="0" fontId="24" fillId="6" borderId="368" xfId="0" applyFont="1" applyFill="1" applyBorder="1" applyAlignment="1">
      <alignment horizontal="left" vertical="center" indent="1"/>
    </xf>
    <xf numFmtId="0" fontId="31" fillId="6" borderId="97" xfId="0" applyFont="1" applyFill="1" applyBorder="1" applyAlignment="1">
      <alignment horizontal="center" vertical="center"/>
    </xf>
    <xf numFmtId="3" fontId="33" fillId="4" borderId="97" xfId="0" applyNumberFormat="1" applyFont="1" applyFill="1" applyBorder="1" applyAlignment="1">
      <alignment horizontal="center" vertical="center"/>
    </xf>
    <xf numFmtId="0" fontId="0" fillId="6" borderId="97" xfId="0" applyFont="1" applyFill="1" applyBorder="1" applyAlignment="1">
      <alignment horizontal="center" vertical="center"/>
    </xf>
    <xf numFmtId="1" fontId="33" fillId="4" borderId="369" xfId="0" applyNumberFormat="1" applyFont="1" applyFill="1" applyBorder="1" applyAlignment="1">
      <alignment horizontal="center" vertical="center"/>
    </xf>
    <xf numFmtId="3" fontId="24" fillId="6" borderId="318" xfId="0" applyNumberFormat="1" applyFont="1" applyFill="1" applyBorder="1" applyAlignment="1">
      <alignment horizontal="left" vertical="center" indent="1"/>
    </xf>
    <xf numFmtId="3" fontId="31" fillId="6" borderId="97" xfId="0" applyNumberFormat="1" applyFont="1" applyFill="1" applyBorder="1" applyAlignment="1">
      <alignment horizontal="center" vertical="center"/>
    </xf>
    <xf numFmtId="3" fontId="0" fillId="6" borderId="97" xfId="0" applyNumberFormat="1" applyFont="1" applyFill="1" applyBorder="1" applyAlignment="1">
      <alignment horizontal="center" vertical="center"/>
    </xf>
    <xf numFmtId="3" fontId="33" fillId="4" borderId="319" xfId="0" applyNumberFormat="1" applyFont="1" applyFill="1" applyBorder="1" applyAlignment="1">
      <alignment horizontal="center" vertical="center"/>
    </xf>
    <xf numFmtId="3" fontId="24" fillId="7" borderId="251" xfId="0" applyNumberFormat="1" applyFont="1" applyFill="1" applyBorder="1" applyAlignment="1">
      <alignment horizontal="right" vertical="center" indent="1"/>
    </xf>
    <xf numFmtId="165" fontId="24" fillId="6" borderId="26" xfId="0" applyNumberFormat="1" applyFont="1" applyFill="1" applyBorder="1" applyAlignment="1">
      <alignment horizontal="center" vertical="center"/>
    </xf>
    <xf numFmtId="3" fontId="24" fillId="6" borderId="34" xfId="0" applyNumberFormat="1" applyFont="1" applyFill="1" applyBorder="1" applyAlignment="1">
      <alignment horizontal="center" vertical="center"/>
    </xf>
    <xf numFmtId="3" fontId="32" fillId="5" borderId="275" xfId="0" applyNumberFormat="1" applyFont="1" applyFill="1" applyBorder="1" applyAlignment="1">
      <alignment horizontal="center" vertical="center"/>
    </xf>
    <xf numFmtId="3" fontId="29" fillId="3" borderId="89" xfId="0" applyNumberFormat="1" applyFont="1" applyFill="1" applyBorder="1" applyAlignment="1">
      <alignment horizontal="center" vertical="center"/>
    </xf>
    <xf numFmtId="0" fontId="0" fillId="5" borderId="0" xfId="0" applyFont="1" applyFill="1"/>
    <xf numFmtId="3" fontId="0" fillId="5" borderId="0" xfId="0" applyNumberFormat="1" applyFont="1" applyFill="1" applyAlignment="1">
      <alignment horizontal="center"/>
    </xf>
    <xf numFmtId="0" fontId="0" fillId="5" borderId="0" xfId="0" applyFont="1" applyFill="1" applyBorder="1"/>
    <xf numFmtId="3" fontId="0" fillId="5" borderId="90" xfId="0" applyNumberFormat="1" applyFont="1" applyFill="1" applyBorder="1" applyAlignment="1">
      <alignment horizontal="center" vertical="center"/>
    </xf>
    <xf numFmtId="3" fontId="0" fillId="5" borderId="17" xfId="0" applyNumberFormat="1" applyFont="1" applyFill="1" applyBorder="1" applyAlignment="1">
      <alignment horizontal="right" vertical="center" indent="1"/>
    </xf>
    <xf numFmtId="165" fontId="0" fillId="5" borderId="24" xfId="0" applyNumberFormat="1" applyFont="1" applyFill="1" applyBorder="1" applyAlignment="1">
      <alignment horizontal="right" vertical="center" indent="1"/>
    </xf>
    <xf numFmtId="1" fontId="24" fillId="5" borderId="23" xfId="0" applyNumberFormat="1" applyFont="1" applyFill="1" applyBorder="1" applyAlignment="1">
      <alignment horizontal="center" vertical="center"/>
    </xf>
    <xf numFmtId="3" fontId="32" fillId="5" borderId="32" xfId="0" applyNumberFormat="1" applyFont="1" applyFill="1" applyBorder="1" applyAlignment="1">
      <alignment horizontal="center" vertical="center"/>
    </xf>
    <xf numFmtId="3" fontId="31" fillId="2" borderId="33" xfId="0" applyNumberFormat="1" applyFont="1" applyFill="1" applyBorder="1" applyAlignment="1">
      <alignment horizontal="center" vertical="center"/>
    </xf>
    <xf numFmtId="3" fontId="31" fillId="5" borderId="33" xfId="0" applyNumberFormat="1" applyFont="1" applyFill="1" applyBorder="1" applyAlignment="1">
      <alignment horizontal="center" vertical="center"/>
    </xf>
    <xf numFmtId="3" fontId="32" fillId="5" borderId="62" xfId="0" applyNumberFormat="1" applyFont="1" applyFill="1" applyBorder="1" applyAlignment="1">
      <alignment horizontal="center" vertical="center"/>
    </xf>
    <xf numFmtId="3" fontId="31" fillId="2" borderId="49" xfId="0" applyNumberFormat="1" applyFont="1" applyFill="1" applyBorder="1" applyAlignment="1">
      <alignment horizontal="center" vertical="center"/>
    </xf>
    <xf numFmtId="3" fontId="31" fillId="5" borderId="49" xfId="0" applyNumberFormat="1" applyFont="1" applyFill="1" applyBorder="1" applyAlignment="1">
      <alignment horizontal="center" vertical="center"/>
    </xf>
    <xf numFmtId="3" fontId="32" fillId="5" borderId="49" xfId="0" applyNumberFormat="1" applyFont="1" applyFill="1" applyBorder="1" applyAlignment="1">
      <alignment horizontal="center" vertical="center"/>
    </xf>
    <xf numFmtId="3" fontId="32" fillId="5" borderId="57" xfId="0" applyNumberFormat="1" applyFont="1" applyFill="1" applyBorder="1" applyAlignment="1">
      <alignment horizontal="center" vertical="center"/>
    </xf>
    <xf numFmtId="0" fontId="24" fillId="5" borderId="33" xfId="0" applyNumberFormat="1" applyFont="1" applyFill="1" applyBorder="1" applyAlignment="1">
      <alignment horizontal="center" vertical="center"/>
    </xf>
    <xf numFmtId="3" fontId="29" fillId="5" borderId="371" xfId="0" applyNumberFormat="1" applyFont="1" applyFill="1" applyBorder="1" applyAlignment="1">
      <alignment horizontal="center" vertical="center"/>
    </xf>
    <xf numFmtId="0" fontId="32" fillId="5" borderId="271" xfId="0" applyFont="1" applyFill="1" applyBorder="1" applyAlignment="1">
      <alignment horizontal="center" vertical="center"/>
    </xf>
    <xf numFmtId="0" fontId="43" fillId="2" borderId="317" xfId="0" applyFont="1" applyFill="1" applyBorder="1" applyAlignment="1">
      <alignment horizontal="center" vertical="center"/>
    </xf>
    <xf numFmtId="0" fontId="24" fillId="5" borderId="317" xfId="0" applyFont="1" applyFill="1" applyBorder="1" applyAlignment="1">
      <alignment horizontal="center" vertical="center"/>
    </xf>
    <xf numFmtId="3" fontId="0" fillId="5" borderId="317" xfId="0" applyNumberFormat="1" applyFont="1" applyFill="1" applyBorder="1" applyAlignment="1">
      <alignment horizontal="center" vertical="center"/>
    </xf>
    <xf numFmtId="3" fontId="0" fillId="5" borderId="272" xfId="0" applyNumberFormat="1" applyFont="1" applyFill="1" applyBorder="1" applyAlignment="1">
      <alignment horizontal="center" vertical="center"/>
    </xf>
    <xf numFmtId="3" fontId="0" fillId="5" borderId="74" xfId="0" applyNumberFormat="1" applyFont="1" applyFill="1" applyBorder="1" applyAlignment="1">
      <alignment horizontal="center" vertical="center"/>
    </xf>
    <xf numFmtId="2" fontId="0" fillId="5" borderId="296" xfId="0" applyNumberFormat="1" applyFont="1" applyFill="1" applyBorder="1" applyAlignment="1">
      <alignment horizontal="center" vertical="center"/>
    </xf>
    <xf numFmtId="167" fontId="0" fillId="5" borderId="63" xfId="0" applyNumberFormat="1" applyFont="1" applyFill="1" applyBorder="1" applyAlignment="1">
      <alignment horizontal="center" vertical="center"/>
    </xf>
    <xf numFmtId="166" fontId="0" fillId="5" borderId="329" xfId="0" applyNumberFormat="1" applyFont="1" applyFill="1" applyBorder="1" applyAlignment="1">
      <alignment horizontal="center" vertical="center"/>
    </xf>
    <xf numFmtId="3" fontId="0" fillId="3" borderId="296" xfId="0" applyNumberFormat="1" applyFont="1" applyFill="1" applyBorder="1" applyAlignment="1">
      <alignment horizontal="right" vertical="center" indent="1"/>
    </xf>
    <xf numFmtId="165" fontId="0" fillId="3" borderId="64" xfId="0" applyNumberFormat="1" applyFont="1" applyFill="1" applyBorder="1" applyAlignment="1">
      <alignment horizontal="right" vertical="center" indent="1"/>
    </xf>
    <xf numFmtId="3" fontId="0" fillId="5" borderId="132" xfId="0" applyNumberFormat="1" applyFont="1" applyFill="1" applyBorder="1" applyAlignment="1">
      <alignment horizontal="center" vertical="center"/>
    </xf>
    <xf numFmtId="165" fontId="24" fillId="5" borderId="0" xfId="0" applyNumberFormat="1" applyFont="1" applyFill="1" applyAlignment="1">
      <alignment horizontal="center" vertical="center"/>
    </xf>
    <xf numFmtId="3" fontId="32" fillId="5" borderId="19" xfId="0" applyNumberFormat="1" applyFont="1" applyFill="1" applyBorder="1" applyAlignment="1">
      <alignment horizontal="center" vertical="center"/>
    </xf>
    <xf numFmtId="3" fontId="31" fillId="2" borderId="20" xfId="0" applyNumberFormat="1" applyFont="1" applyFill="1" applyBorder="1" applyAlignment="1">
      <alignment horizontal="center" vertical="center"/>
    </xf>
    <xf numFmtId="3" fontId="31" fillId="5" borderId="20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/>
    </xf>
    <xf numFmtId="3" fontId="31" fillId="5" borderId="0" xfId="0" applyNumberFormat="1" applyFont="1" applyFill="1" applyAlignment="1">
      <alignment horizontal="center"/>
    </xf>
    <xf numFmtId="167" fontId="125" fillId="0" borderId="0" xfId="0" applyNumberFormat="1" applyFont="1" applyAlignment="1">
      <alignment vertical="center"/>
    </xf>
    <xf numFmtId="0" fontId="125" fillId="5" borderId="108" xfId="0" applyFont="1" applyFill="1" applyBorder="1" applyAlignment="1">
      <alignment horizontal="left" vertical="center"/>
    </xf>
    <xf numFmtId="0" fontId="125" fillId="5" borderId="109" xfId="0" applyFont="1" applyFill="1" applyBorder="1" applyAlignment="1">
      <alignment horizontal="left" vertical="center"/>
    </xf>
    <xf numFmtId="0" fontId="125" fillId="5" borderId="96" xfId="0" applyFont="1" applyFill="1" applyBorder="1" applyAlignment="1">
      <alignment horizontal="left" vertical="center"/>
    </xf>
    <xf numFmtId="0" fontId="125" fillId="5" borderId="95" xfId="0" applyFont="1" applyFill="1" applyBorder="1" applyAlignment="1">
      <alignment horizontal="left" vertical="center"/>
    </xf>
    <xf numFmtId="0" fontId="125" fillId="5" borderId="96" xfId="0" applyFont="1" applyFill="1" applyBorder="1" applyAlignment="1">
      <alignment horizontal="left" vertical="center" indent="1"/>
    </xf>
    <xf numFmtId="167" fontId="125" fillId="0" borderId="242" xfId="0" applyNumberFormat="1" applyFont="1" applyBorder="1"/>
    <xf numFmtId="167" fontId="125" fillId="0" borderId="109" xfId="0" applyNumberFormat="1" applyFont="1" applyBorder="1"/>
    <xf numFmtId="0" fontId="125" fillId="5" borderId="109" xfId="0" applyFont="1" applyFill="1" applyBorder="1" applyAlignment="1">
      <alignment horizontal="left" vertical="center" indent="1"/>
    </xf>
    <xf numFmtId="167" fontId="125" fillId="0" borderId="95" xfId="0" applyNumberFormat="1" applyFont="1" applyBorder="1"/>
    <xf numFmtId="0" fontId="125" fillId="5" borderId="110" xfId="0" applyFont="1" applyFill="1" applyBorder="1" applyAlignment="1">
      <alignment horizontal="left" vertical="center"/>
    </xf>
    <xf numFmtId="167" fontId="125" fillId="0" borderId="0" xfId="0" applyNumberFormat="1" applyFont="1"/>
    <xf numFmtId="0" fontId="125" fillId="5" borderId="298" xfId="0" applyFont="1" applyFill="1" applyBorder="1" applyAlignment="1">
      <alignment horizontal="left" vertical="center"/>
    </xf>
    <xf numFmtId="0" fontId="125" fillId="5" borderId="13" xfId="0" applyFont="1" applyFill="1" applyBorder="1" applyAlignment="1">
      <alignment horizontal="left" vertical="center"/>
    </xf>
    <xf numFmtId="0" fontId="125" fillId="5" borderId="43" xfId="0" applyFont="1" applyFill="1" applyBorder="1" applyAlignment="1">
      <alignment horizontal="left" vertical="center"/>
    </xf>
    <xf numFmtId="0" fontId="125" fillId="5" borderId="49" xfId="0" applyFont="1" applyFill="1" applyBorder="1" applyAlignment="1">
      <alignment horizontal="left" vertical="center"/>
    </xf>
    <xf numFmtId="167" fontId="125" fillId="5" borderId="0" xfId="0" applyNumberFormat="1" applyFont="1" applyFill="1" applyAlignment="1">
      <alignment horizontal="center" vertical="center"/>
    </xf>
    <xf numFmtId="167" fontId="125" fillId="9" borderId="0" xfId="0" applyNumberFormat="1" applyFont="1" applyFill="1" applyAlignment="1">
      <alignment horizontal="center" vertical="center"/>
    </xf>
    <xf numFmtId="167" fontId="126" fillId="5" borderId="0" xfId="0" applyNumberFormat="1" applyFont="1" applyFill="1" applyAlignment="1">
      <alignment horizontal="center" vertical="center"/>
    </xf>
    <xf numFmtId="167" fontId="125" fillId="5" borderId="0" xfId="0" applyNumberFormat="1" applyFont="1" applyFill="1" applyBorder="1" applyAlignment="1">
      <alignment horizontal="center" vertical="center"/>
    </xf>
    <xf numFmtId="3" fontId="50" fillId="0" borderId="140" xfId="0" applyNumberFormat="1" applyFont="1" applyBorder="1" applyAlignment="1">
      <alignment horizontal="center"/>
    </xf>
    <xf numFmtId="3" fontId="50" fillId="0" borderId="33" xfId="0" applyNumberFormat="1" applyFont="1" applyBorder="1" applyAlignment="1">
      <alignment horizontal="center"/>
    </xf>
    <xf numFmtId="0" fontId="117" fillId="9" borderId="363" xfId="0" applyFont="1" applyFill="1" applyBorder="1" applyAlignment="1">
      <alignment horizontal="right" vertical="center" indent="1"/>
    </xf>
    <xf numFmtId="0" fontId="118" fillId="9" borderId="364" xfId="0" applyFont="1" applyFill="1" applyBorder="1" applyAlignment="1">
      <alignment horizontal="right" vertical="center" indent="1"/>
    </xf>
    <xf numFmtId="0" fontId="113" fillId="9" borderId="421" xfId="0" applyFont="1" applyFill="1" applyBorder="1" applyAlignment="1">
      <alignment horizontal="right" vertical="center" indent="1"/>
    </xf>
    <xf numFmtId="0" fontId="112" fillId="0" borderId="362" xfId="0" applyFont="1" applyBorder="1" applyAlignment="1">
      <alignment horizontal="left" indent="1"/>
    </xf>
    <xf numFmtId="3" fontId="50" fillId="0" borderId="275" xfId="0" applyNumberFormat="1" applyFont="1" applyBorder="1" applyAlignment="1">
      <alignment horizontal="center"/>
    </xf>
    <xf numFmtId="0" fontId="112" fillId="0" borderId="366" xfId="0" applyFont="1" applyBorder="1" applyAlignment="1">
      <alignment horizontal="left" indent="1"/>
    </xf>
    <xf numFmtId="0" fontId="112" fillId="0" borderId="362" xfId="0" applyFont="1" applyBorder="1"/>
    <xf numFmtId="0" fontId="112" fillId="0" borderId="271" xfId="0" applyFont="1" applyBorder="1"/>
    <xf numFmtId="0" fontId="112" fillId="0" borderId="317" xfId="0" applyFont="1" applyBorder="1"/>
    <xf numFmtId="0" fontId="112" fillId="0" borderId="295" xfId="0" applyFont="1" applyBorder="1" applyAlignment="1">
      <alignment horizontal="right" indent="1"/>
    </xf>
    <xf numFmtId="0" fontId="113" fillId="5" borderId="283" xfId="0" applyFont="1" applyFill="1" applyBorder="1" applyAlignment="1">
      <alignment horizontal="right" vertical="center"/>
    </xf>
    <xf numFmtId="1" fontId="50" fillId="4" borderId="19" xfId="0" applyNumberFormat="1" applyFont="1" applyFill="1" applyBorder="1" applyAlignment="1">
      <alignment horizontal="center" vertical="center"/>
    </xf>
    <xf numFmtId="3" fontId="50" fillId="4" borderId="20" xfId="0" applyNumberFormat="1" applyFont="1" applyFill="1" applyBorder="1" applyAlignment="1">
      <alignment horizontal="center" vertical="center"/>
    </xf>
    <xf numFmtId="0" fontId="50" fillId="4" borderId="20" xfId="0" applyFont="1" applyFill="1" applyBorder="1" applyAlignment="1">
      <alignment horizontal="center" vertical="center"/>
    </xf>
    <xf numFmtId="2" fontId="50" fillId="4" borderId="4" xfId="0" applyNumberFormat="1" applyFont="1" applyFill="1" applyBorder="1" applyAlignment="1">
      <alignment horizontal="center" vertical="center"/>
    </xf>
    <xf numFmtId="166" fontId="50" fillId="4" borderId="60" xfId="0" applyNumberFormat="1" applyFont="1" applyFill="1" applyBorder="1" applyAlignment="1">
      <alignment horizontal="right" indent="1"/>
    </xf>
    <xf numFmtId="166" fontId="50" fillId="4" borderId="423" xfId="0" applyNumberFormat="1" applyFont="1" applyFill="1" applyBorder="1" applyAlignment="1">
      <alignment horizontal="right" indent="1"/>
    </xf>
    <xf numFmtId="166" fontId="50" fillId="4" borderId="424" xfId="0" applyNumberFormat="1" applyFont="1" applyFill="1" applyBorder="1" applyAlignment="1">
      <alignment horizontal="right" indent="1"/>
    </xf>
    <xf numFmtId="166" fontId="50" fillId="4" borderId="425" xfId="0" applyNumberFormat="1" applyFont="1" applyFill="1" applyBorder="1" applyAlignment="1">
      <alignment horizontal="right" indent="1"/>
    </xf>
    <xf numFmtId="0" fontId="113" fillId="5" borderId="0" xfId="0" applyFont="1" applyFill="1" applyBorder="1"/>
    <xf numFmtId="0" fontId="112" fillId="5" borderId="0" xfId="0" applyFont="1" applyFill="1" applyBorder="1"/>
    <xf numFmtId="3" fontId="127" fillId="6" borderId="422" xfId="0" applyNumberFormat="1" applyFont="1" applyFill="1" applyBorder="1" applyAlignment="1">
      <alignment horizontal="left" vertical="center" indent="1"/>
    </xf>
    <xf numFmtId="3" fontId="127" fillId="6" borderId="364" xfId="0" applyNumberFormat="1" applyFont="1" applyFill="1" applyBorder="1" applyAlignment="1">
      <alignment horizontal="left" vertical="center" indent="1"/>
    </xf>
    <xf numFmtId="3" fontId="127" fillId="6" borderId="365" xfId="0" applyNumberFormat="1" applyFont="1" applyFill="1" applyBorder="1" applyAlignment="1">
      <alignment horizontal="left" vertical="center" indent="1"/>
    </xf>
    <xf numFmtId="0" fontId="105" fillId="3" borderId="68" xfId="0" applyFont="1" applyFill="1" applyBorder="1" applyAlignment="1">
      <alignment horizontal="center" vertical="center"/>
    </xf>
    <xf numFmtId="0" fontId="105" fillId="3" borderId="20" xfId="0" applyFont="1" applyFill="1" applyBorder="1" applyAlignment="1">
      <alignment horizontal="center" vertical="center"/>
    </xf>
    <xf numFmtId="3" fontId="105" fillId="5" borderId="0" xfId="0" applyNumberFormat="1" applyFont="1" applyFill="1" applyBorder="1" applyAlignment="1">
      <alignment horizontal="center" vertical="center"/>
    </xf>
    <xf numFmtId="3" fontId="105" fillId="5" borderId="0" xfId="0" applyNumberFormat="1" applyFont="1" applyFill="1" applyAlignment="1">
      <alignment horizontal="center"/>
    </xf>
    <xf numFmtId="3" fontId="105" fillId="0" borderId="0" xfId="0" applyNumberFormat="1" applyFont="1" applyAlignment="1">
      <alignment horizontal="center"/>
    </xf>
    <xf numFmtId="0" fontId="105" fillId="0" borderId="0" xfId="0" applyFont="1"/>
    <xf numFmtId="3" fontId="53" fillId="5" borderId="89" xfId="0" applyNumberFormat="1" applyFont="1" applyFill="1" applyBorder="1" applyAlignment="1">
      <alignment horizontal="center"/>
    </xf>
    <xf numFmtId="3" fontId="53" fillId="5" borderId="90" xfId="0" applyNumberFormat="1" applyFont="1" applyFill="1" applyBorder="1" applyAlignment="1">
      <alignment horizontal="center"/>
    </xf>
    <xf numFmtId="3" fontId="53" fillId="5" borderId="420" xfId="0" applyNumberFormat="1" applyFont="1" applyFill="1" applyBorder="1" applyAlignment="1">
      <alignment horizontal="center"/>
    </xf>
    <xf numFmtId="3" fontId="42" fillId="5" borderId="24" xfId="0" applyNumberFormat="1" applyFont="1" applyFill="1" applyBorder="1" applyAlignment="1">
      <alignment horizontal="left" vertical="center"/>
    </xf>
    <xf numFmtId="0" fontId="71" fillId="0" borderId="0" xfId="45" applyFont="1" applyAlignment="1">
      <alignment horizontal="center" vertical="center"/>
    </xf>
    <xf numFmtId="0" fontId="68" fillId="0" borderId="135" xfId="43" applyFont="1" applyBorder="1" applyAlignment="1">
      <alignment horizontal="center" vertical="center"/>
    </xf>
    <xf numFmtId="0" fontId="68" fillId="0" borderId="0" xfId="43" applyFont="1" applyBorder="1" applyAlignment="1">
      <alignment horizontal="center" vertical="center"/>
    </xf>
    <xf numFmtId="0" fontId="68" fillId="0" borderId="136" xfId="43" applyFont="1" applyBorder="1" applyAlignment="1">
      <alignment horizontal="center" vertical="center"/>
    </xf>
    <xf numFmtId="0" fontId="68" fillId="0" borderId="0" xfId="43" applyFont="1" applyBorder="1" applyAlignment="1">
      <alignment vertical="center"/>
    </xf>
    <xf numFmtId="0" fontId="71" fillId="0" borderId="0" xfId="45" applyFont="1" applyAlignment="1">
      <alignment vertical="center"/>
    </xf>
    <xf numFmtId="0" fontId="68" fillId="3" borderId="67" xfId="43" applyFont="1" applyFill="1" applyBorder="1" applyAlignment="1">
      <alignment horizontal="center" vertical="center"/>
    </xf>
    <xf numFmtId="0" fontId="68" fillId="3" borderId="17" xfId="43" applyFont="1" applyFill="1" applyBorder="1" applyAlignment="1">
      <alignment horizontal="center" vertical="center"/>
    </xf>
    <xf numFmtId="0" fontId="71" fillId="3" borderId="19" xfId="45" applyFont="1" applyFill="1" applyBorder="1" applyAlignment="1">
      <alignment horizontal="center" vertical="center"/>
    </xf>
    <xf numFmtId="0" fontId="71" fillId="3" borderId="139" xfId="45" applyFont="1" applyFill="1" applyBorder="1" applyAlignment="1">
      <alignment horizontal="center" vertical="center"/>
    </xf>
    <xf numFmtId="0" fontId="71" fillId="3" borderId="137" xfId="45" applyFont="1" applyFill="1" applyBorder="1" applyAlignment="1">
      <alignment horizontal="center" vertical="center"/>
    </xf>
    <xf numFmtId="0" fontId="68" fillId="3" borderId="137" xfId="43" applyFont="1" applyFill="1" applyBorder="1" applyAlignment="1">
      <alignment horizontal="center" vertical="center"/>
    </xf>
    <xf numFmtId="0" fontId="68" fillId="3" borderId="147" xfId="43" applyFont="1" applyFill="1" applyBorder="1" applyAlignment="1">
      <alignment horizontal="center" vertical="center"/>
    </xf>
    <xf numFmtId="0" fontId="68" fillId="3" borderId="139" xfId="43" applyFont="1" applyFill="1" applyBorder="1" applyAlignment="1">
      <alignment horizontal="center" vertical="center"/>
    </xf>
    <xf numFmtId="0" fontId="68" fillId="3" borderId="144" xfId="43" applyFont="1" applyFill="1" applyBorder="1" applyAlignment="1">
      <alignment horizontal="center" vertical="center"/>
    </xf>
    <xf numFmtId="0" fontId="68" fillId="3" borderId="135" xfId="43" applyFont="1" applyFill="1" applyBorder="1" applyAlignment="1">
      <alignment horizontal="center" vertical="center"/>
    </xf>
    <xf numFmtId="0" fontId="68" fillId="3" borderId="162" xfId="43" applyFont="1" applyFill="1" applyBorder="1" applyAlignment="1">
      <alignment horizontal="center" vertical="center"/>
    </xf>
    <xf numFmtId="0" fontId="68" fillId="3" borderId="29" xfId="43" applyFont="1" applyFill="1" applyBorder="1" applyAlignment="1">
      <alignment horizontal="center" vertical="center"/>
    </xf>
    <xf numFmtId="0" fontId="68" fillId="3" borderId="86" xfId="43" applyFont="1" applyFill="1" applyBorder="1" applyAlignment="1">
      <alignment horizontal="center" vertical="center"/>
    </xf>
    <xf numFmtId="0" fontId="68" fillId="3" borderId="138" xfId="43" applyFont="1" applyFill="1" applyBorder="1" applyAlignment="1">
      <alignment horizontal="center" vertical="center"/>
    </xf>
    <xf numFmtId="0" fontId="68" fillId="3" borderId="145" xfId="43" applyFont="1" applyFill="1" applyBorder="1" applyAlignment="1">
      <alignment horizontal="center" vertical="center"/>
    </xf>
    <xf numFmtId="0" fontId="68" fillId="3" borderId="136" xfId="43" applyFont="1" applyFill="1" applyBorder="1" applyAlignment="1">
      <alignment horizontal="center" vertical="center"/>
    </xf>
    <xf numFmtId="0" fontId="68" fillId="3" borderId="152" xfId="43" applyFont="1" applyFill="1" applyBorder="1" applyAlignment="1">
      <alignment horizontal="center" vertical="center"/>
    </xf>
    <xf numFmtId="0" fontId="68" fillId="3" borderId="150" xfId="43" applyFont="1" applyFill="1" applyBorder="1" applyAlignment="1">
      <alignment horizontal="center" vertical="center"/>
    </xf>
    <xf numFmtId="0" fontId="0" fillId="3" borderId="7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291" xfId="0" applyFont="1" applyFill="1" applyBorder="1" applyAlignment="1">
      <alignment vertical="center"/>
    </xf>
    <xf numFmtId="0" fontId="0" fillId="3" borderId="163" xfId="0" applyFont="1" applyFill="1" applyBorder="1" applyAlignment="1">
      <alignment vertical="center"/>
    </xf>
    <xf numFmtId="0" fontId="0" fillId="3" borderId="0" xfId="0" applyFill="1" applyBorder="1"/>
    <xf numFmtId="0" fontId="62" fillId="3" borderId="65" xfId="0" applyFont="1" applyFill="1" applyBorder="1"/>
    <xf numFmtId="0" fontId="33" fillId="3" borderId="65" xfId="0" applyFont="1" applyFill="1" applyBorder="1" applyAlignment="1">
      <alignment horizontal="center" vertical="center"/>
    </xf>
    <xf numFmtId="0" fontId="35" fillId="11" borderId="2" xfId="0" applyFont="1" applyFill="1" applyBorder="1" applyAlignment="1">
      <alignment horizontal="left" vertical="center"/>
    </xf>
    <xf numFmtId="0" fontId="0" fillId="3" borderId="34" xfId="0" applyFont="1" applyFill="1" applyBorder="1" applyAlignment="1">
      <alignment vertical="center"/>
    </xf>
    <xf numFmtId="3" fontId="18" fillId="11" borderId="2" xfId="0" applyNumberFormat="1" applyFont="1" applyFill="1" applyBorder="1" applyAlignment="1">
      <alignment horizontal="left" vertical="center" indent="1"/>
    </xf>
    <xf numFmtId="0" fontId="0" fillId="11" borderId="30" xfId="0" applyFont="1" applyFill="1" applyBorder="1" applyAlignment="1">
      <alignment vertical="center"/>
    </xf>
    <xf numFmtId="0" fontId="71" fillId="3" borderId="138" xfId="45" applyFont="1" applyFill="1" applyBorder="1" applyAlignment="1">
      <alignment horizontal="center" vertical="center"/>
    </xf>
    <xf numFmtId="0" fontId="68" fillId="3" borderId="138" xfId="43" applyFont="1" applyFill="1" applyBorder="1" applyAlignment="1">
      <alignment horizontal="left" vertical="center" indent="1"/>
    </xf>
    <xf numFmtId="0" fontId="128" fillId="0" borderId="142" xfId="43" applyFont="1" applyBorder="1" applyAlignment="1">
      <alignment horizontal="left" vertical="center" indent="1"/>
    </xf>
    <xf numFmtId="171" fontId="69" fillId="0" borderId="143" xfId="43" applyNumberFormat="1" applyFont="1" applyBorder="1" applyAlignment="1">
      <alignment horizontal="left" vertical="center" indent="1"/>
    </xf>
    <xf numFmtId="0" fontId="128" fillId="0" borderId="146" xfId="43" applyFont="1" applyBorder="1" applyAlignment="1">
      <alignment horizontal="left" vertical="center" indent="1"/>
    </xf>
    <xf numFmtId="0" fontId="69" fillId="0" borderId="218" xfId="43" applyFont="1" applyBorder="1" applyAlignment="1">
      <alignment horizontal="left" vertical="center" indent="1"/>
    </xf>
    <xf numFmtId="0" fontId="69" fillId="0" borderId="45" xfId="43" applyFont="1" applyBorder="1" applyAlignment="1">
      <alignment horizontal="left" vertical="center" indent="1"/>
    </xf>
    <xf numFmtId="0" fontId="69" fillId="0" borderId="33" xfId="43" applyFont="1" applyBorder="1" applyAlignment="1">
      <alignment horizontal="left" vertical="center" indent="1"/>
    </xf>
    <xf numFmtId="0" fontId="69" fillId="0" borderId="53" xfId="43" applyFont="1" applyBorder="1" applyAlignment="1">
      <alignment horizontal="left" vertical="center" indent="1"/>
    </xf>
    <xf numFmtId="0" fontId="69" fillId="0" borderId="36" xfId="43" applyFont="1" applyBorder="1" applyAlignment="1">
      <alignment horizontal="left" vertical="center" indent="1"/>
    </xf>
    <xf numFmtId="0" fontId="69" fillId="0" borderId="13" xfId="43" applyFont="1" applyBorder="1" applyAlignment="1">
      <alignment horizontal="left" vertical="center" indent="1"/>
    </xf>
    <xf numFmtId="0" fontId="69" fillId="0" borderId="14" xfId="43" applyFont="1" applyBorder="1" applyAlignment="1">
      <alignment horizontal="left" vertical="center" indent="1"/>
    </xf>
    <xf numFmtId="0" fontId="69" fillId="8" borderId="36" xfId="43" quotePrefix="1" applyFont="1" applyFill="1" applyBorder="1" applyAlignment="1">
      <alignment horizontal="left" vertical="center" indent="1"/>
    </xf>
    <xf numFmtId="0" fontId="69" fillId="8" borderId="13" xfId="43" quotePrefix="1" applyFont="1" applyFill="1" applyBorder="1" applyAlignment="1">
      <alignment horizontal="left" vertical="center" indent="1"/>
    </xf>
    <xf numFmtId="0" fontId="69" fillId="8" borderId="36" xfId="43" applyFont="1" applyFill="1" applyBorder="1" applyAlignment="1">
      <alignment horizontal="left" vertical="center" indent="1"/>
    </xf>
    <xf numFmtId="0" fontId="69" fillId="8" borderId="13" xfId="43" applyFont="1" applyFill="1" applyBorder="1" applyAlignment="1">
      <alignment horizontal="left" vertical="center" indent="1"/>
    </xf>
    <xf numFmtId="0" fontId="67" fillId="0" borderId="36" xfId="45" applyFont="1" applyBorder="1" applyAlignment="1">
      <alignment vertical="center"/>
    </xf>
    <xf numFmtId="0" fontId="67" fillId="0" borderId="13" xfId="45" applyFont="1" applyBorder="1" applyAlignment="1">
      <alignment vertical="center"/>
    </xf>
    <xf numFmtId="0" fontId="67" fillId="0" borderId="14" xfId="45" applyFont="1" applyBorder="1" applyAlignment="1">
      <alignment vertical="center"/>
    </xf>
    <xf numFmtId="0" fontId="69" fillId="0" borderId="44" xfId="43" applyFont="1" applyBorder="1" applyAlignment="1">
      <alignment horizontal="left" vertical="center" indent="1"/>
    </xf>
    <xf numFmtId="0" fontId="69" fillId="0" borderId="43" xfId="43" applyFont="1" applyBorder="1" applyAlignment="1">
      <alignment horizontal="left" vertical="center" indent="1"/>
    </xf>
    <xf numFmtId="0" fontId="69" fillId="0" borderId="31" xfId="43" applyFont="1" applyBorder="1" applyAlignment="1">
      <alignment horizontal="left" vertical="center" indent="1"/>
    </xf>
    <xf numFmtId="0" fontId="67" fillId="0" borderId="31" xfId="45" applyFont="1" applyBorder="1" applyAlignment="1">
      <alignment vertical="center"/>
    </xf>
    <xf numFmtId="0" fontId="67" fillId="0" borderId="48" xfId="45" applyFont="1" applyBorder="1" applyAlignment="1">
      <alignment vertical="center"/>
    </xf>
    <xf numFmtId="0" fontId="67" fillId="0" borderId="46" xfId="45" applyFont="1" applyBorder="1" applyAlignment="1">
      <alignment vertical="center"/>
    </xf>
    <xf numFmtId="0" fontId="67" fillId="0" borderId="47" xfId="45" applyFont="1" applyBorder="1" applyAlignment="1">
      <alignment horizontal="center" vertical="center"/>
    </xf>
    <xf numFmtId="0" fontId="67" fillId="0" borderId="13" xfId="45" applyFont="1" applyBorder="1" applyAlignment="1">
      <alignment horizontal="center" vertical="center"/>
    </xf>
    <xf numFmtId="0" fontId="67" fillId="0" borderId="14" xfId="45" applyFont="1" applyBorder="1" applyAlignment="1">
      <alignment horizontal="center" vertical="center"/>
    </xf>
    <xf numFmtId="0" fontId="67" fillId="0" borderId="43" xfId="45" applyFont="1" applyBorder="1" applyAlignment="1">
      <alignment vertical="center"/>
    </xf>
    <xf numFmtId="0" fontId="67" fillId="0" borderId="43" xfId="45" applyFont="1" applyBorder="1" applyAlignment="1">
      <alignment horizontal="center" vertical="center"/>
    </xf>
    <xf numFmtId="0" fontId="67" fillId="0" borderId="31" xfId="45" applyFont="1" applyBorder="1" applyAlignment="1">
      <alignment horizontal="center" vertical="center"/>
    </xf>
    <xf numFmtId="0" fontId="69" fillId="0" borderId="48" xfId="43" applyFont="1" applyBorder="1" applyAlignment="1">
      <alignment horizontal="center" vertical="center"/>
    </xf>
    <xf numFmtId="0" fontId="69" fillId="0" borderId="76" xfId="43" applyFont="1" applyBorder="1" applyAlignment="1">
      <alignment horizontal="left" vertical="center" indent="1"/>
    </xf>
    <xf numFmtId="0" fontId="128" fillId="0" borderId="142" xfId="43" quotePrefix="1" applyFont="1" applyBorder="1" applyAlignment="1">
      <alignment horizontal="left" vertical="center" indent="1"/>
    </xf>
    <xf numFmtId="171" fontId="69" fillId="37" borderId="72" xfId="43" applyNumberFormat="1" applyFont="1" applyFill="1" applyBorder="1" applyAlignment="1">
      <alignment horizontal="left" vertical="center" indent="1"/>
    </xf>
    <xf numFmtId="171" fontId="69" fillId="37" borderId="73" xfId="43" applyNumberFormat="1" applyFont="1" applyFill="1" applyBorder="1" applyAlignment="1">
      <alignment horizontal="left" vertical="center" indent="1"/>
    </xf>
    <xf numFmtId="171" fontId="69" fillId="37" borderId="74" xfId="43" applyNumberFormat="1" applyFont="1" applyFill="1" applyBorder="1" applyAlignment="1">
      <alignment horizontal="left" vertical="center" indent="1"/>
    </xf>
    <xf numFmtId="171" fontId="69" fillId="37" borderId="153" xfId="43" applyNumberFormat="1" applyFont="1" applyFill="1" applyBorder="1" applyAlignment="1">
      <alignment horizontal="left" vertical="center" indent="1"/>
    </xf>
    <xf numFmtId="0" fontId="69" fillId="37" borderId="75" xfId="43" applyFont="1" applyFill="1" applyBorder="1" applyAlignment="1">
      <alignment horizontal="left" vertical="center" indent="1"/>
    </xf>
    <xf numFmtId="0" fontId="69" fillId="37" borderId="73" xfId="43" applyFont="1" applyFill="1" applyBorder="1" applyAlignment="1">
      <alignment horizontal="left" vertical="center" indent="1"/>
    </xf>
    <xf numFmtId="0" fontId="69" fillId="37" borderId="74" xfId="43" applyFont="1" applyFill="1" applyBorder="1" applyAlignment="1">
      <alignment horizontal="left" vertical="center" indent="1"/>
    </xf>
    <xf numFmtId="0" fontId="69" fillId="37" borderId="72" xfId="43" applyFont="1" applyFill="1" applyBorder="1" applyAlignment="1">
      <alignment horizontal="left" vertical="center" indent="1"/>
    </xf>
    <xf numFmtId="0" fontId="69" fillId="37" borderId="153" xfId="43" applyFont="1" applyFill="1" applyBorder="1" applyAlignment="1">
      <alignment horizontal="left" vertical="center" indent="1"/>
    </xf>
    <xf numFmtId="172" fontId="69" fillId="37" borderId="136" xfId="46" applyNumberFormat="1" applyFont="1" applyFill="1" applyBorder="1" applyAlignment="1" applyProtection="1">
      <alignment horizontal="left" vertical="center" indent="1"/>
      <protection locked="0"/>
    </xf>
    <xf numFmtId="172" fontId="70" fillId="37" borderId="138" xfId="43" applyNumberFormat="1" applyFont="1" applyFill="1" applyBorder="1" applyAlignment="1">
      <alignment horizontal="left" vertical="center" indent="1"/>
    </xf>
    <xf numFmtId="3" fontId="69" fillId="37" borderId="138" xfId="46" applyNumberFormat="1" applyFont="1" applyFill="1" applyBorder="1" applyAlignment="1" applyProtection="1">
      <alignment horizontal="left" vertical="center" indent="1"/>
      <protection locked="0"/>
    </xf>
    <xf numFmtId="43" fontId="69" fillId="37" borderId="138" xfId="46" applyFont="1" applyFill="1" applyBorder="1" applyAlignment="1" applyProtection="1">
      <alignment horizontal="left" vertical="center" indent="1"/>
      <protection locked="0"/>
    </xf>
    <xf numFmtId="2" fontId="69" fillId="37" borderId="138" xfId="46" applyNumberFormat="1" applyFont="1" applyFill="1" applyBorder="1" applyAlignment="1">
      <alignment horizontal="left" vertical="center" indent="1"/>
    </xf>
    <xf numFmtId="43" fontId="69" fillId="37" borderId="138" xfId="43" applyNumberFormat="1" applyFont="1" applyFill="1" applyBorder="1" applyAlignment="1">
      <alignment horizontal="left" vertical="center" indent="1"/>
    </xf>
    <xf numFmtId="165" fontId="69" fillId="37" borderId="138" xfId="46" applyNumberFormat="1" applyFont="1" applyFill="1" applyBorder="1" applyAlignment="1">
      <alignment horizontal="left" vertical="center" indent="1"/>
    </xf>
    <xf numFmtId="172" fontId="69" fillId="37" borderId="138" xfId="43" applyNumberFormat="1" applyFont="1" applyFill="1" applyBorder="1" applyAlignment="1">
      <alignment horizontal="left" vertical="center" indent="1"/>
    </xf>
    <xf numFmtId="173" fontId="69" fillId="37" borderId="138" xfId="43" applyNumberFormat="1" applyFont="1" applyFill="1" applyBorder="1" applyAlignment="1">
      <alignment horizontal="left" vertical="center" indent="1"/>
    </xf>
    <xf numFmtId="0" fontId="67" fillId="37" borderId="138" xfId="45" applyFont="1" applyFill="1" applyBorder="1" applyAlignment="1">
      <alignment horizontal="left" vertical="center" indent="1"/>
    </xf>
    <xf numFmtId="174" fontId="69" fillId="37" borderId="138" xfId="43" applyNumberFormat="1" applyFont="1" applyFill="1" applyBorder="1" applyAlignment="1">
      <alignment horizontal="left" vertical="center" indent="1"/>
    </xf>
    <xf numFmtId="172" fontId="69" fillId="37" borderId="138" xfId="46" applyNumberFormat="1" applyFont="1" applyFill="1" applyBorder="1" applyAlignment="1">
      <alignment horizontal="left" vertical="center" indent="1"/>
    </xf>
    <xf numFmtId="169" fontId="69" fillId="37" borderId="138" xfId="46" applyNumberFormat="1" applyFont="1" applyFill="1" applyBorder="1" applyAlignment="1">
      <alignment horizontal="left" vertical="center" indent="1"/>
    </xf>
    <xf numFmtId="43" fontId="69" fillId="37" borderId="152" xfId="46" applyFont="1" applyFill="1" applyBorder="1" applyAlignment="1">
      <alignment horizontal="left" vertical="center" indent="1"/>
    </xf>
    <xf numFmtId="3" fontId="69" fillId="37" borderId="69" xfId="46" applyNumberFormat="1" applyFont="1" applyFill="1" applyBorder="1" applyAlignment="1" applyProtection="1">
      <alignment horizontal="center" vertical="center"/>
      <protection locked="0"/>
    </xf>
    <xf numFmtId="43" fontId="69" fillId="37" borderId="24" xfId="46" applyFont="1" applyFill="1" applyBorder="1" applyAlignment="1" applyProtection="1">
      <alignment horizontal="center" vertical="center"/>
      <protection locked="0"/>
    </xf>
    <xf numFmtId="0" fontId="67" fillId="37" borderId="4" xfId="45" applyFont="1" applyFill="1" applyBorder="1" applyAlignment="1">
      <alignment horizontal="center" vertical="center"/>
    </xf>
    <xf numFmtId="0" fontId="67" fillId="37" borderId="84" xfId="45" applyFont="1" applyFill="1" applyBorder="1" applyAlignment="1">
      <alignment horizontal="center" vertical="center"/>
    </xf>
    <xf numFmtId="43" fontId="69" fillId="37" borderId="77" xfId="46" applyFont="1" applyFill="1" applyBorder="1" applyAlignment="1" applyProtection="1">
      <alignment horizontal="center" vertical="center"/>
      <protection locked="0"/>
    </xf>
    <xf numFmtId="172" fontId="69" fillId="37" borderId="77" xfId="46" applyNumberFormat="1" applyFont="1" applyFill="1" applyBorder="1" applyAlignment="1" applyProtection="1">
      <alignment horizontal="center" vertical="center"/>
      <protection locked="0"/>
    </xf>
    <xf numFmtId="172" fontId="70" fillId="37" borderId="149" xfId="43" applyNumberFormat="1" applyFont="1" applyFill="1" applyBorder="1" applyAlignment="1">
      <alignment horizontal="center" vertical="center"/>
    </xf>
    <xf numFmtId="43" fontId="69" fillId="37" borderId="150" xfId="43" applyNumberFormat="1" applyFont="1" applyFill="1" applyBorder="1" applyAlignment="1">
      <alignment horizontal="center" vertical="center"/>
    </xf>
    <xf numFmtId="2" fontId="69" fillId="37" borderId="138" xfId="46" applyNumberFormat="1" applyFont="1" applyFill="1" applyBorder="1" applyAlignment="1">
      <alignment horizontal="center" vertical="center"/>
    </xf>
    <xf numFmtId="165" fontId="69" fillId="37" borderId="145" xfId="46" applyNumberFormat="1" applyFont="1" applyFill="1" applyBorder="1" applyAlignment="1">
      <alignment horizontal="center" vertical="center"/>
    </xf>
    <xf numFmtId="172" fontId="69" fillId="37" borderId="136" xfId="43" applyNumberFormat="1" applyFont="1" applyFill="1" applyBorder="1" applyAlignment="1">
      <alignment horizontal="center" vertical="center"/>
    </xf>
    <xf numFmtId="173" fontId="69" fillId="37" borderId="138" xfId="43" applyNumberFormat="1" applyFont="1" applyFill="1" applyBorder="1" applyAlignment="1">
      <alignment horizontal="center" vertical="center"/>
    </xf>
    <xf numFmtId="175" fontId="69" fillId="37" borderId="152" xfId="43" applyNumberFormat="1" applyFont="1" applyFill="1" applyBorder="1" applyAlignment="1">
      <alignment horizontal="center" vertical="center"/>
    </xf>
    <xf numFmtId="172" fontId="69" fillId="37" borderId="150" xfId="43" applyNumberFormat="1" applyFont="1" applyFill="1" applyBorder="1" applyAlignment="1">
      <alignment horizontal="center" vertical="center"/>
    </xf>
    <xf numFmtId="173" fontId="69" fillId="37" borderId="145" xfId="43" applyNumberFormat="1" applyFont="1" applyFill="1" applyBorder="1" applyAlignment="1">
      <alignment horizontal="center" vertical="center"/>
    </xf>
    <xf numFmtId="173" fontId="69" fillId="37" borderId="136" xfId="43" applyNumberFormat="1" applyFont="1" applyFill="1" applyBorder="1" applyAlignment="1">
      <alignment horizontal="center" vertical="center"/>
    </xf>
    <xf numFmtId="173" fontId="69" fillId="37" borderId="152" xfId="43" applyNumberFormat="1" applyFont="1" applyFill="1" applyBorder="1" applyAlignment="1">
      <alignment horizontal="center" vertical="center"/>
    </xf>
    <xf numFmtId="172" fontId="69" fillId="37" borderId="150" xfId="46" applyNumberFormat="1" applyFont="1" applyFill="1" applyBorder="1" applyAlignment="1">
      <alignment horizontal="center" vertical="center"/>
    </xf>
    <xf numFmtId="172" fontId="69" fillId="37" borderId="138" xfId="43" applyNumberFormat="1" applyFont="1" applyFill="1" applyBorder="1" applyAlignment="1">
      <alignment horizontal="center" vertical="center"/>
    </xf>
    <xf numFmtId="169" fontId="69" fillId="37" borderId="138" xfId="46" applyNumberFormat="1" applyFont="1" applyFill="1" applyBorder="1" applyAlignment="1">
      <alignment horizontal="center" vertical="center"/>
    </xf>
    <xf numFmtId="172" fontId="69" fillId="37" borderId="138" xfId="46" applyNumberFormat="1" applyFont="1" applyFill="1" applyBorder="1" applyAlignment="1">
      <alignment horizontal="center" vertical="center"/>
    </xf>
    <xf numFmtId="43" fontId="69" fillId="37" borderId="152" xfId="46" applyFont="1" applyFill="1" applyBorder="1" applyAlignment="1">
      <alignment horizontal="center" vertical="center"/>
    </xf>
    <xf numFmtId="0" fontId="130" fillId="0" borderId="0" xfId="43" applyFont="1" applyAlignment="1">
      <alignment horizontal="left" vertical="center" indent="1"/>
    </xf>
    <xf numFmtId="0" fontId="131" fillId="0" borderId="0" xfId="43" applyFont="1" applyAlignment="1">
      <alignment vertical="center"/>
    </xf>
    <xf numFmtId="2" fontId="130" fillId="0" borderId="0" xfId="43" applyNumberFormat="1" applyFont="1" applyAlignment="1">
      <alignment horizontal="left" vertical="center" indent="1"/>
    </xf>
    <xf numFmtId="0" fontId="131" fillId="0" borderId="0" xfId="43" applyFont="1" applyAlignment="1">
      <alignment horizontal="right" vertical="center" indent="1"/>
    </xf>
    <xf numFmtId="0" fontId="135" fillId="0" borderId="0" xfId="44" applyFont="1" applyAlignment="1">
      <alignment horizontal="left" indent="1"/>
    </xf>
    <xf numFmtId="0" fontId="135" fillId="0" borderId="0" xfId="44" applyFont="1"/>
    <xf numFmtId="0" fontId="137" fillId="0" borderId="0" xfId="44" applyFont="1" applyAlignment="1">
      <alignment horizontal="left" indent="1"/>
    </xf>
    <xf numFmtId="0" fontId="50" fillId="0" borderId="0" xfId="0" applyFont="1" applyBorder="1" applyAlignment="1">
      <alignment vertical="center"/>
    </xf>
    <xf numFmtId="0" fontId="50" fillId="0" borderId="124" xfId="0" applyFont="1" applyBorder="1" applyAlignment="1">
      <alignment horizontal="left" vertical="center" indent="1"/>
    </xf>
    <xf numFmtId="0" fontId="50" fillId="0" borderId="124" xfId="0" applyFont="1" applyBorder="1" applyAlignment="1">
      <alignment vertical="center"/>
    </xf>
    <xf numFmtId="0" fontId="131" fillId="0" borderId="124" xfId="43" applyFont="1" applyBorder="1" applyAlignment="1">
      <alignment vertical="center"/>
    </xf>
    <xf numFmtId="0" fontId="137" fillId="0" borderId="124" xfId="44" applyFont="1" applyBorder="1" applyAlignment="1">
      <alignment horizontal="left" indent="1"/>
    </xf>
    <xf numFmtId="0" fontId="137" fillId="0" borderId="124" xfId="44" applyFont="1" applyBorder="1"/>
    <xf numFmtId="0" fontId="26" fillId="0" borderId="151" xfId="0" applyFont="1" applyBorder="1" applyAlignment="1">
      <alignment horizontal="left" vertical="center" indent="1"/>
    </xf>
    <xf numFmtId="0" fontId="0" fillId="0" borderId="46" xfId="0" applyFont="1" applyBorder="1" applyAlignment="1">
      <alignment vertical="center"/>
    </xf>
    <xf numFmtId="0" fontId="0" fillId="0" borderId="76" xfId="0" applyFont="1" applyBorder="1" applyAlignment="1">
      <alignment vertical="center"/>
    </xf>
    <xf numFmtId="0" fontId="26" fillId="0" borderId="142" xfId="0" applyFont="1" applyBorder="1" applyAlignment="1">
      <alignment horizontal="left" vertical="center" indent="1"/>
    </xf>
    <xf numFmtId="0" fontId="0" fillId="0" borderId="143" xfId="0" applyFont="1" applyBorder="1" applyAlignment="1">
      <alignment vertical="center"/>
    </xf>
    <xf numFmtId="0" fontId="26" fillId="5" borderId="142" xfId="0" applyFont="1" applyFill="1" applyBorder="1" applyAlignment="1">
      <alignment horizontal="left" vertical="center" indent="1"/>
    </xf>
    <xf numFmtId="0" fontId="0" fillId="5" borderId="143" xfId="0" applyFont="1" applyFill="1" applyBorder="1" applyAlignment="1">
      <alignment vertical="center"/>
    </xf>
    <xf numFmtId="0" fontId="26" fillId="0" borderId="60" xfId="0" applyFont="1" applyBorder="1" applyAlignment="1">
      <alignment horizontal="left" vertical="center" indent="1"/>
    </xf>
    <xf numFmtId="0" fontId="0" fillId="0" borderId="49" xfId="0" applyFont="1" applyBorder="1" applyAlignment="1">
      <alignment vertical="center"/>
    </xf>
    <xf numFmtId="0" fontId="0" fillId="0" borderId="148" xfId="0" applyFont="1" applyBorder="1" applyAlignment="1">
      <alignment vertical="center"/>
    </xf>
    <xf numFmtId="0" fontId="0" fillId="0" borderId="143" xfId="0" applyFont="1" applyBorder="1" applyAlignment="1">
      <alignment horizontal="left" vertical="center"/>
    </xf>
    <xf numFmtId="0" fontId="26" fillId="0" borderId="52" xfId="0" applyFont="1" applyBorder="1" applyAlignment="1">
      <alignment horizontal="left" vertical="center" indent="1"/>
    </xf>
    <xf numFmtId="0" fontId="26" fillId="0" borderId="36" xfId="0" applyFont="1" applyBorder="1" applyAlignment="1">
      <alignment horizontal="left" vertical="center" indent="1"/>
    </xf>
    <xf numFmtId="0" fontId="26" fillId="0" borderId="424" xfId="0" applyFont="1" applyBorder="1" applyAlignment="1">
      <alignment horizontal="left" vertical="center" indent="1"/>
    </xf>
    <xf numFmtId="0" fontId="0" fillId="0" borderId="317" xfId="0" applyFont="1" applyBorder="1" applyAlignment="1">
      <alignment vertical="center"/>
    </xf>
    <xf numFmtId="0" fontId="0" fillId="0" borderId="429" xfId="0" applyFont="1" applyBorder="1" applyAlignment="1">
      <alignment vertical="center"/>
    </xf>
    <xf numFmtId="0" fontId="57" fillId="0" borderId="0" xfId="0" applyFont="1" applyBorder="1" applyAlignment="1">
      <alignment horizontal="left" vertical="center" indent="1"/>
    </xf>
    <xf numFmtId="0" fontId="57" fillId="0" borderId="0" xfId="0" applyFont="1" applyAlignment="1">
      <alignment horizontal="left" vertical="center" indent="1"/>
    </xf>
    <xf numFmtId="0" fontId="27" fillId="0" borderId="0" xfId="0" applyFont="1" applyAlignment="1">
      <alignment horizontal="left" vertical="center" indent="1"/>
    </xf>
    <xf numFmtId="0" fontId="139" fillId="0" borderId="0" xfId="0" applyFont="1" applyAlignment="1">
      <alignment horizontal="left" vertical="center" indent="1"/>
    </xf>
    <xf numFmtId="0" fontId="27" fillId="3" borderId="127" xfId="0" applyFont="1" applyFill="1" applyBorder="1" applyAlignment="1">
      <alignment horizontal="left" vertical="center" indent="1"/>
    </xf>
    <xf numFmtId="0" fontId="27" fillId="3" borderId="23" xfId="0" applyFont="1" applyFill="1" applyBorder="1" applyAlignment="1">
      <alignment horizontal="left" vertical="center" indent="1"/>
    </xf>
    <xf numFmtId="0" fontId="27" fillId="3" borderId="30" xfId="0" applyFont="1" applyFill="1" applyBorder="1" applyAlignment="1">
      <alignment horizontal="left" vertical="center" indent="1"/>
    </xf>
    <xf numFmtId="0" fontId="36" fillId="0" borderId="0" xfId="0" applyFont="1" applyAlignment="1">
      <alignment horizontal="left" vertical="center" indent="1"/>
    </xf>
    <xf numFmtId="0" fontId="27" fillId="3" borderId="130" xfId="0" applyFont="1" applyFill="1" applyBorder="1" applyAlignment="1">
      <alignment horizontal="left" vertical="center" indent="1"/>
    </xf>
    <xf numFmtId="0" fontId="27" fillId="3" borderId="0" xfId="0" applyFont="1" applyFill="1" applyBorder="1" applyAlignment="1">
      <alignment horizontal="left" vertical="center" indent="1"/>
    </xf>
    <xf numFmtId="0" fontId="27" fillId="3" borderId="131" xfId="0" applyFont="1" applyFill="1" applyBorder="1" applyAlignment="1">
      <alignment horizontal="left" vertical="center" indent="1"/>
    </xf>
    <xf numFmtId="0" fontId="27" fillId="3" borderId="125" xfId="0" applyFont="1" applyFill="1" applyBorder="1" applyAlignment="1">
      <alignment horizontal="left" vertical="center" indent="1"/>
    </xf>
    <xf numFmtId="0" fontId="27" fillId="3" borderId="22" xfId="0" applyFont="1" applyFill="1" applyBorder="1" applyAlignment="1">
      <alignment horizontal="left" vertical="center" indent="1"/>
    </xf>
    <xf numFmtId="0" fontId="27" fillId="3" borderId="126" xfId="0" applyFont="1" applyFill="1" applyBorder="1" applyAlignment="1">
      <alignment horizontal="left" vertical="center" indent="1"/>
    </xf>
    <xf numFmtId="0" fontId="65" fillId="0" borderId="0" xfId="0" applyFont="1" applyAlignment="1">
      <alignment horizontal="left" vertical="center" indent="1"/>
    </xf>
    <xf numFmtId="0" fontId="26" fillId="0" borderId="2" xfId="0" applyFont="1" applyBorder="1" applyAlignment="1">
      <alignment horizontal="left" vertical="center" indent="1"/>
    </xf>
    <xf numFmtId="0" fontId="141" fillId="0" borderId="0" xfId="0" applyFont="1" applyAlignment="1">
      <alignment vertical="center"/>
    </xf>
    <xf numFmtId="0" fontId="141" fillId="0" borderId="0" xfId="0" applyFont="1" applyBorder="1" applyAlignment="1">
      <alignment vertical="center"/>
    </xf>
    <xf numFmtId="0" fontId="141" fillId="0" borderId="0" xfId="0" applyFont="1"/>
    <xf numFmtId="0" fontId="141" fillId="0" borderId="0" xfId="0" applyFont="1" applyAlignment="1">
      <alignment horizontal="left" vertical="center" indent="1"/>
    </xf>
    <xf numFmtId="0" fontId="142" fillId="0" borderId="0" xfId="0" applyFont="1" applyAlignment="1">
      <alignment horizontal="left" vertical="center" indent="1"/>
    </xf>
    <xf numFmtId="0" fontId="24" fillId="5" borderId="13" xfId="0" applyFont="1" applyFill="1" applyBorder="1" applyAlignment="1">
      <alignment horizontal="left" vertical="center"/>
    </xf>
    <xf numFmtId="0" fontId="0" fillId="5" borderId="81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 vertical="center" indent="1"/>
    </xf>
    <xf numFmtId="0" fontId="143" fillId="5" borderId="13" xfId="0" applyFont="1" applyFill="1" applyBorder="1" applyAlignment="1">
      <alignment horizontal="left" vertical="center"/>
    </xf>
    <xf numFmtId="0" fontId="144" fillId="40" borderId="36" xfId="0" applyFont="1" applyFill="1" applyBorder="1" applyAlignment="1">
      <alignment horizontal="left" vertical="center"/>
    </xf>
    <xf numFmtId="0" fontId="24" fillId="40" borderId="405" xfId="0" applyFont="1" applyFill="1" applyBorder="1" applyAlignment="1">
      <alignment horizontal="left" vertical="center"/>
    </xf>
    <xf numFmtId="0" fontId="0" fillId="40" borderId="302" xfId="0" applyFont="1" applyFill="1" applyBorder="1" applyAlignment="1">
      <alignment horizontal="left" vertical="center"/>
    </xf>
    <xf numFmtId="0" fontId="24" fillId="40" borderId="45" xfId="0" applyFont="1" applyFill="1" applyBorder="1" applyAlignment="1">
      <alignment horizontal="left" vertical="center"/>
    </xf>
    <xf numFmtId="0" fontId="0" fillId="40" borderId="53" xfId="0" applyFont="1" applyFill="1" applyBorder="1" applyAlignment="1">
      <alignment horizontal="left" vertical="center"/>
    </xf>
    <xf numFmtId="0" fontId="0" fillId="40" borderId="14" xfId="0" applyFont="1" applyFill="1" applyBorder="1" applyAlignment="1">
      <alignment horizontal="left" vertical="center"/>
    </xf>
    <xf numFmtId="0" fontId="21" fillId="40" borderId="430" xfId="0" applyFont="1" applyFill="1" applyBorder="1" applyAlignment="1">
      <alignment vertical="center"/>
    </xf>
    <xf numFmtId="170" fontId="42" fillId="40" borderId="405" xfId="0" applyNumberFormat="1" applyFont="1" applyFill="1" applyBorder="1" applyAlignment="1">
      <alignment horizontal="left" vertical="center"/>
    </xf>
    <xf numFmtId="170" fontId="42" fillId="40" borderId="45" xfId="0" applyNumberFormat="1" applyFont="1" applyFill="1" applyBorder="1" applyAlignment="1">
      <alignment horizontal="left" vertical="center"/>
    </xf>
    <xf numFmtId="0" fontId="0" fillId="40" borderId="36" xfId="0" applyFont="1" applyFill="1" applyBorder="1" applyAlignment="1">
      <alignment horizontal="left" vertical="center"/>
    </xf>
    <xf numFmtId="0" fontId="20" fillId="40" borderId="124" xfId="0" applyFont="1" applyFill="1" applyBorder="1" applyAlignment="1">
      <alignment vertical="center"/>
    </xf>
    <xf numFmtId="0" fontId="18" fillId="5" borderId="298" xfId="0" applyFont="1" applyFill="1" applyBorder="1" applyAlignment="1">
      <alignment horizontal="right" vertical="center" indent="1"/>
    </xf>
    <xf numFmtId="0" fontId="37" fillId="5" borderId="317" xfId="0" applyFont="1" applyFill="1" applyBorder="1" applyAlignment="1">
      <alignment horizontal="right" vertical="center" indent="1"/>
    </xf>
    <xf numFmtId="0" fontId="37" fillId="5" borderId="298" xfId="0" applyFont="1" applyFill="1" applyBorder="1" applyAlignment="1">
      <alignment horizontal="right" vertical="center" indent="1"/>
    </xf>
    <xf numFmtId="0" fontId="146" fillId="5" borderId="298" xfId="0" applyFont="1" applyFill="1" applyBorder="1" applyAlignment="1">
      <alignment horizontal="left" vertical="center"/>
    </xf>
    <xf numFmtId="0" fontId="37" fillId="5" borderId="298" xfId="0" applyFont="1" applyFill="1" applyBorder="1" applyAlignment="1">
      <alignment horizontal="left" vertical="center"/>
    </xf>
    <xf numFmtId="0" fontId="29" fillId="5" borderId="13" xfId="0" applyFont="1" applyFill="1" applyBorder="1" applyAlignment="1">
      <alignment horizontal="left" vertical="center" indent="1"/>
    </xf>
    <xf numFmtId="0" fontId="0" fillId="2" borderId="33" xfId="0" applyFont="1" applyFill="1" applyBorder="1" applyAlignment="1">
      <alignment horizontal="left" vertical="center"/>
    </xf>
    <xf numFmtId="0" fontId="24" fillId="2" borderId="33" xfId="0" applyFont="1" applyFill="1" applyBorder="1" applyAlignment="1">
      <alignment horizontal="left" vertical="center" indent="1"/>
    </xf>
    <xf numFmtId="0" fontId="0" fillId="2" borderId="40" xfId="0" applyFont="1" applyFill="1" applyBorder="1" applyAlignment="1">
      <alignment horizontal="left" vertical="center"/>
    </xf>
    <xf numFmtId="0" fontId="0" fillId="5" borderId="74" xfId="0" applyFont="1" applyFill="1" applyBorder="1" applyAlignment="1">
      <alignment horizontal="left" vertical="center"/>
    </xf>
    <xf numFmtId="0" fontId="24" fillId="2" borderId="32" xfId="0" applyFont="1" applyFill="1" applyBorder="1" applyAlignment="1">
      <alignment horizontal="left" vertical="center" indent="1"/>
    </xf>
    <xf numFmtId="0" fontId="100" fillId="11" borderId="62" xfId="0" applyFont="1" applyFill="1" applyBorder="1" applyAlignment="1">
      <alignment horizontal="left" vertical="center" indent="1"/>
    </xf>
    <xf numFmtId="0" fontId="98" fillId="11" borderId="49" xfId="0" applyFont="1" applyFill="1" applyBorder="1" applyAlignment="1">
      <alignment horizontal="left" vertical="center" indent="1"/>
    </xf>
    <xf numFmtId="0" fontId="0" fillId="11" borderId="49" xfId="0" applyFont="1" applyFill="1" applyBorder="1" applyAlignment="1">
      <alignment horizontal="left" vertical="center"/>
    </xf>
    <xf numFmtId="0" fontId="0" fillId="11" borderId="57" xfId="0" applyFont="1" applyFill="1" applyBorder="1" applyAlignment="1">
      <alignment horizontal="left" vertical="center"/>
    </xf>
    <xf numFmtId="0" fontId="26" fillId="2" borderId="431" xfId="0" applyFont="1" applyFill="1" applyBorder="1" applyAlignment="1">
      <alignment horizontal="left" indent="1"/>
    </xf>
    <xf numFmtId="0" fontId="0" fillId="2" borderId="63" xfId="0" applyFont="1" applyFill="1" applyBorder="1" applyAlignment="1">
      <alignment horizontal="left" vertical="center"/>
    </xf>
    <xf numFmtId="0" fontId="26" fillId="2" borderId="431" xfId="0" applyFont="1" applyFill="1" applyBorder="1" applyAlignment="1">
      <alignment horizontal="left" vertical="center" indent="1"/>
    </xf>
    <xf numFmtId="0" fontId="145" fillId="5" borderId="433" xfId="0" applyFont="1" applyFill="1" applyBorder="1" applyAlignment="1">
      <alignment horizontal="left" vertical="center"/>
    </xf>
    <xf numFmtId="0" fontId="37" fillId="40" borderId="317" xfId="0" applyFont="1" applyFill="1" applyBorder="1" applyAlignment="1">
      <alignment horizontal="right" vertical="center" indent="1"/>
    </xf>
    <xf numFmtId="0" fontId="33" fillId="5" borderId="43" xfId="0" applyFont="1" applyFill="1" applyBorder="1" applyAlignment="1">
      <alignment horizontal="left" vertical="center"/>
    </xf>
    <xf numFmtId="167" fontId="125" fillId="0" borderId="102" xfId="0" applyNumberFormat="1" applyFont="1" applyBorder="1"/>
    <xf numFmtId="167" fontId="125" fillId="0" borderId="13" xfId="0" applyNumberFormat="1" applyFont="1" applyBorder="1"/>
    <xf numFmtId="167" fontId="125" fillId="5" borderId="13" xfId="0" applyNumberFormat="1" applyFont="1" applyFill="1" applyBorder="1" applyAlignment="1">
      <alignment horizontal="center" vertical="center"/>
    </xf>
    <xf numFmtId="170" fontId="120" fillId="2" borderId="201" xfId="0" applyNumberFormat="1" applyFont="1" applyFill="1" applyBorder="1" applyAlignment="1">
      <alignment horizontal="left" vertical="center" indent="1"/>
    </xf>
    <xf numFmtId="170" fontId="117" fillId="37" borderId="434" xfId="0" applyNumberFormat="1" applyFont="1" applyFill="1" applyBorder="1" applyAlignment="1">
      <alignment horizontal="left" vertical="center" indent="1"/>
    </xf>
    <xf numFmtId="4" fontId="121" fillId="2" borderId="314" xfId="0" applyNumberFormat="1" applyFont="1" applyFill="1" applyBorder="1" applyAlignment="1">
      <alignment horizontal="left" vertical="center" indent="1"/>
    </xf>
    <xf numFmtId="170" fontId="120" fillId="2" borderId="435" xfId="0" applyNumberFormat="1" applyFont="1" applyFill="1" applyBorder="1" applyAlignment="1">
      <alignment horizontal="left" vertical="center" indent="1"/>
    </xf>
    <xf numFmtId="0" fontId="0" fillId="3" borderId="17" xfId="0" applyFont="1" applyFill="1" applyBorder="1" applyAlignment="1">
      <alignment horizontal="left" vertical="center" indent="1"/>
    </xf>
    <xf numFmtId="0" fontId="0" fillId="3" borderId="14" xfId="0" applyFont="1" applyFill="1" applyBorder="1" applyAlignment="1">
      <alignment horizontal="left" vertical="center"/>
    </xf>
    <xf numFmtId="0" fontId="0" fillId="3" borderId="143" xfId="0" applyFont="1" applyFill="1" applyBorder="1" applyAlignment="1">
      <alignment horizontal="left" vertical="center"/>
    </xf>
    <xf numFmtId="0" fontId="0" fillId="3" borderId="36" xfId="0" applyFont="1" applyFill="1" applyBorder="1" applyAlignment="1">
      <alignment horizontal="left" vertical="center" indent="1"/>
    </xf>
    <xf numFmtId="0" fontId="0" fillId="3" borderId="208" xfId="0" applyFont="1" applyFill="1" applyBorder="1" applyAlignment="1">
      <alignment horizontal="left" vertical="center"/>
    </xf>
    <xf numFmtId="0" fontId="0" fillId="5" borderId="17" xfId="0" applyFont="1" applyFill="1" applyBorder="1" applyAlignment="1">
      <alignment horizontal="left" vertical="center" indent="1"/>
    </xf>
    <xf numFmtId="0" fontId="0" fillId="5" borderId="36" xfId="0" applyFont="1" applyFill="1" applyBorder="1" applyAlignment="1">
      <alignment horizontal="left" vertical="center" indent="1"/>
    </xf>
    <xf numFmtId="0" fontId="112" fillId="6" borderId="261" xfId="0" applyFont="1" applyFill="1" applyBorder="1" applyAlignment="1">
      <alignment horizontal="right" vertical="center" indent="1"/>
    </xf>
    <xf numFmtId="0" fontId="112" fillId="6" borderId="20" xfId="0" applyFont="1" applyFill="1" applyBorder="1" applyAlignment="1">
      <alignment horizontal="right" vertical="center" indent="1"/>
    </xf>
    <xf numFmtId="0" fontId="112" fillId="6" borderId="38" xfId="0" applyFont="1" applyFill="1" applyBorder="1" applyAlignment="1">
      <alignment horizontal="right" vertical="center" indent="1"/>
    </xf>
    <xf numFmtId="165" fontId="24" fillId="9" borderId="5" xfId="0" applyNumberFormat="1" applyFont="1" applyFill="1" applyBorder="1" applyAlignment="1">
      <alignment horizontal="center" vertical="center"/>
    </xf>
    <xf numFmtId="165" fontId="24" fillId="9" borderId="65" xfId="0" applyNumberFormat="1" applyFont="1" applyFill="1" applyBorder="1" applyAlignment="1">
      <alignment horizontal="center" vertical="center"/>
    </xf>
    <xf numFmtId="165" fontId="24" fillId="9" borderId="9" xfId="0" applyNumberFormat="1" applyFont="1" applyFill="1" applyBorder="1" applyAlignment="1">
      <alignment horizontal="center" vertical="center"/>
    </xf>
    <xf numFmtId="165" fontId="24" fillId="9" borderId="66" xfId="0" applyNumberFormat="1" applyFont="1" applyFill="1" applyBorder="1" applyAlignment="1">
      <alignment horizontal="center" vertical="center"/>
    </xf>
    <xf numFmtId="173" fontId="26" fillId="0" borderId="32" xfId="0" applyNumberFormat="1" applyFont="1" applyBorder="1" applyAlignment="1">
      <alignment horizontal="center"/>
    </xf>
    <xf numFmtId="173" fontId="26" fillId="0" borderId="33" xfId="0" applyNumberFormat="1" applyFont="1" applyBorder="1" applyAlignment="1">
      <alignment horizontal="center"/>
    </xf>
    <xf numFmtId="173" fontId="26" fillId="0" borderId="40" xfId="0" applyNumberFormat="1" applyFont="1" applyBorder="1" applyAlignment="1">
      <alignment horizontal="center"/>
    </xf>
    <xf numFmtId="173" fontId="26" fillId="5" borderId="142" xfId="0" applyNumberFormat="1" applyFont="1" applyFill="1" applyBorder="1" applyAlignment="1">
      <alignment horizontal="center" vertical="center"/>
    </xf>
    <xf numFmtId="173" fontId="26" fillId="5" borderId="13" xfId="0" applyNumberFormat="1" applyFont="1" applyFill="1" applyBorder="1" applyAlignment="1">
      <alignment horizontal="center" vertical="center"/>
    </xf>
    <xf numFmtId="173" fontId="26" fillId="5" borderId="24" xfId="0" applyNumberFormat="1" applyFont="1" applyFill="1" applyBorder="1" applyAlignment="1">
      <alignment horizontal="center" vertical="center"/>
    </xf>
    <xf numFmtId="3" fontId="50" fillId="4" borderId="20" xfId="0" applyNumberFormat="1" applyFont="1" applyFill="1" applyBorder="1" applyAlignment="1">
      <alignment horizontal="center" vertical="center"/>
    </xf>
    <xf numFmtId="165" fontId="26" fillId="5" borderId="17" xfId="0" applyNumberFormat="1" applyFont="1" applyFill="1" applyBorder="1" applyAlignment="1">
      <alignment horizontal="left" vertical="center" indent="1"/>
    </xf>
    <xf numFmtId="165" fontId="26" fillId="5" borderId="13" xfId="0" applyNumberFormat="1" applyFont="1" applyFill="1" applyBorder="1" applyAlignment="1">
      <alignment horizontal="left" vertical="center" indent="1"/>
    </xf>
    <xf numFmtId="165" fontId="26" fillId="5" borderId="14" xfId="0" applyNumberFormat="1" applyFont="1" applyFill="1" applyBorder="1" applyAlignment="1">
      <alignment horizontal="left" vertical="center" indent="1"/>
    </xf>
    <xf numFmtId="0" fontId="18" fillId="3" borderId="1" xfId="0" applyFont="1" applyFill="1" applyBorder="1" applyAlignment="1">
      <alignment horizontal="center" vertical="center"/>
    </xf>
    <xf numFmtId="0" fontId="35" fillId="3" borderId="127" xfId="0" applyFont="1" applyFill="1" applyBorder="1" applyAlignment="1">
      <alignment horizontal="center" vertical="center"/>
    </xf>
    <xf numFmtId="0" fontId="35" fillId="3" borderId="23" xfId="0" applyFont="1" applyFill="1" applyBorder="1" applyAlignment="1">
      <alignment horizontal="center" vertical="center"/>
    </xf>
    <xf numFmtId="0" fontId="35" fillId="3" borderId="30" xfId="0" applyFont="1" applyFill="1" applyBorder="1" applyAlignment="1">
      <alignment horizontal="center" vertical="center"/>
    </xf>
    <xf numFmtId="0" fontId="35" fillId="3" borderId="125" xfId="0" applyFont="1" applyFill="1" applyBorder="1" applyAlignment="1">
      <alignment horizontal="center" vertical="center"/>
    </xf>
    <xf numFmtId="0" fontId="35" fillId="3" borderId="22" xfId="0" applyFont="1" applyFill="1" applyBorder="1" applyAlignment="1">
      <alignment horizontal="center" vertical="center"/>
    </xf>
    <xf numFmtId="0" fontId="35" fillId="3" borderId="126" xfId="0" applyFont="1" applyFill="1" applyBorder="1" applyAlignment="1">
      <alignment horizontal="center" vertical="center"/>
    </xf>
    <xf numFmtId="165" fontId="26" fillId="5" borderId="19" xfId="0" applyNumberFormat="1" applyFont="1" applyFill="1" applyBorder="1" applyAlignment="1">
      <alignment horizontal="left" vertical="center" indent="1"/>
    </xf>
    <xf numFmtId="165" fontId="26" fillId="5" borderId="20" xfId="0" applyNumberFormat="1" applyFont="1" applyFill="1" applyBorder="1" applyAlignment="1">
      <alignment horizontal="left" vertical="center" indent="1"/>
    </xf>
    <xf numFmtId="165" fontId="26" fillId="5" borderId="38" xfId="0" applyNumberFormat="1" applyFont="1" applyFill="1" applyBorder="1" applyAlignment="1">
      <alignment horizontal="left" vertical="center" indent="1"/>
    </xf>
    <xf numFmtId="173" fontId="26" fillId="5" borderId="201" xfId="0" applyNumberFormat="1" applyFont="1" applyFill="1" applyBorder="1" applyAlignment="1">
      <alignment horizontal="center" vertical="center"/>
    </xf>
    <xf numFmtId="173" fontId="26" fillId="5" borderId="20" xfId="0" applyNumberFormat="1" applyFont="1" applyFill="1" applyBorder="1" applyAlignment="1">
      <alignment horizontal="center" vertical="center"/>
    </xf>
    <xf numFmtId="173" fontId="26" fillId="5" borderId="4" xfId="0" applyNumberFormat="1" applyFont="1" applyFill="1" applyBorder="1" applyAlignment="1">
      <alignment horizontal="center" vertical="center"/>
    </xf>
    <xf numFmtId="165" fontId="24" fillId="9" borderId="163" xfId="0" applyNumberFormat="1" applyFont="1" applyFill="1" applyBorder="1" applyAlignment="1">
      <alignment horizontal="center" vertical="center"/>
    </xf>
    <xf numFmtId="173" fontId="26" fillId="0" borderId="53" xfId="0" applyNumberFormat="1" applyFont="1" applyBorder="1" applyAlignment="1">
      <alignment horizontal="center"/>
    </xf>
    <xf numFmtId="173" fontId="26" fillId="5" borderId="32" xfId="0" applyNumberFormat="1" applyFont="1" applyFill="1" applyBorder="1" applyAlignment="1">
      <alignment horizontal="center"/>
    </xf>
    <xf numFmtId="173" fontId="26" fillId="5" borderId="33" xfId="0" applyNumberFormat="1" applyFont="1" applyFill="1" applyBorder="1" applyAlignment="1">
      <alignment horizontal="center"/>
    </xf>
    <xf numFmtId="173" fontId="26" fillId="5" borderId="40" xfId="0" applyNumberFormat="1" applyFont="1" applyFill="1" applyBorder="1" applyAlignment="1">
      <alignment horizontal="center"/>
    </xf>
    <xf numFmtId="173" fontId="26" fillId="3" borderId="32" xfId="0" applyNumberFormat="1" applyFont="1" applyFill="1" applyBorder="1" applyAlignment="1">
      <alignment horizontal="center"/>
    </xf>
    <xf numFmtId="173" fontId="26" fillId="3" borderId="33" xfId="0" applyNumberFormat="1" applyFont="1" applyFill="1" applyBorder="1" applyAlignment="1">
      <alignment horizontal="center"/>
    </xf>
    <xf numFmtId="173" fontId="26" fillId="3" borderId="40" xfId="0" applyNumberFormat="1" applyFont="1" applyFill="1" applyBorder="1" applyAlignment="1">
      <alignment horizontal="center"/>
    </xf>
    <xf numFmtId="173" fontId="26" fillId="5" borderId="53" xfId="0" applyNumberFormat="1" applyFont="1" applyFill="1" applyBorder="1" applyAlignment="1">
      <alignment horizontal="center"/>
    </xf>
    <xf numFmtId="173" fontId="26" fillId="3" borderId="53" xfId="0" applyNumberFormat="1" applyFont="1" applyFill="1" applyBorder="1" applyAlignment="1">
      <alignment horizontal="center"/>
    </xf>
    <xf numFmtId="173" fontId="26" fillId="0" borderId="296" xfId="0" applyNumberFormat="1" applyFont="1" applyBorder="1" applyAlignment="1">
      <alignment horizontal="center"/>
    </xf>
    <xf numFmtId="173" fontId="26" fillId="0" borderId="63" xfId="0" applyNumberFormat="1" applyFont="1" applyBorder="1" applyAlignment="1">
      <alignment horizontal="center"/>
    </xf>
    <xf numFmtId="173" fontId="26" fillId="0" borderId="64" xfId="0" applyNumberFormat="1" applyFont="1" applyBorder="1" applyAlignment="1">
      <alignment horizontal="center"/>
    </xf>
    <xf numFmtId="173" fontId="26" fillId="0" borderId="329" xfId="0" applyNumberFormat="1" applyFont="1" applyBorder="1" applyAlignment="1">
      <alignment horizontal="center"/>
    </xf>
    <xf numFmtId="167" fontId="24" fillId="2" borderId="413" xfId="0" applyNumberFormat="1" applyFont="1" applyFill="1" applyBorder="1" applyAlignment="1">
      <alignment horizontal="center" vertical="center"/>
    </xf>
    <xf numFmtId="167" fontId="24" fillId="2" borderId="411" xfId="0" applyNumberFormat="1" applyFont="1" applyFill="1" applyBorder="1" applyAlignment="1">
      <alignment horizontal="center" vertical="center"/>
    </xf>
    <xf numFmtId="167" fontId="24" fillId="2" borderId="412" xfId="0" applyNumberFormat="1" applyFont="1" applyFill="1" applyBorder="1" applyAlignment="1">
      <alignment horizontal="center" vertical="center"/>
    </xf>
    <xf numFmtId="167" fontId="24" fillId="2" borderId="414" xfId="0" applyNumberFormat="1" applyFont="1" applyFill="1" applyBorder="1" applyAlignment="1">
      <alignment horizontal="center" vertical="center"/>
    </xf>
    <xf numFmtId="167" fontId="24" fillId="2" borderId="94" xfId="0" applyNumberFormat="1" applyFont="1" applyFill="1" applyBorder="1" applyAlignment="1">
      <alignment horizontal="center" vertical="center"/>
    </xf>
    <xf numFmtId="167" fontId="26" fillId="0" borderId="142" xfId="0" applyNumberFormat="1" applyFont="1" applyBorder="1" applyAlignment="1">
      <alignment horizontal="center"/>
    </xf>
    <xf numFmtId="167" fontId="26" fillId="0" borderId="14" xfId="0" applyNumberFormat="1" applyFont="1" applyBorder="1" applyAlignment="1">
      <alignment horizontal="center"/>
    </xf>
    <xf numFmtId="167" fontId="26" fillId="0" borderId="137" xfId="0" applyNumberFormat="1" applyFont="1" applyBorder="1" applyAlignment="1">
      <alignment horizontal="center"/>
    </xf>
    <xf numFmtId="167" fontId="26" fillId="0" borderId="73" xfId="0" applyNumberFormat="1" applyFont="1" applyBorder="1" applyAlignment="1">
      <alignment horizontal="center"/>
    </xf>
    <xf numFmtId="167" fontId="26" fillId="3" borderId="142" xfId="0" applyNumberFormat="1" applyFont="1" applyFill="1" applyBorder="1" applyAlignment="1">
      <alignment horizontal="center"/>
    </xf>
    <xf numFmtId="167" fontId="26" fillId="3" borderId="14" xfId="0" applyNumberFormat="1" applyFont="1" applyFill="1" applyBorder="1" applyAlignment="1">
      <alignment horizontal="center"/>
    </xf>
    <xf numFmtId="167" fontId="26" fillId="0" borderId="351" xfId="0" applyNumberFormat="1" applyFont="1" applyBorder="1" applyAlignment="1">
      <alignment horizontal="center"/>
    </xf>
    <xf numFmtId="167" fontId="26" fillId="0" borderId="92" xfId="0" applyNumberFormat="1" applyFont="1" applyBorder="1" applyAlignment="1">
      <alignment horizontal="center"/>
    </xf>
    <xf numFmtId="0" fontId="26" fillId="0" borderId="142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167" fontId="26" fillId="0" borderId="58" xfId="0" applyNumberFormat="1" applyFont="1" applyBorder="1" applyAlignment="1">
      <alignment horizontal="center"/>
    </xf>
    <xf numFmtId="167" fontId="26" fillId="0" borderId="59" xfId="0" applyNumberFormat="1" applyFont="1" applyBorder="1" applyAlignment="1">
      <alignment horizontal="center"/>
    </xf>
    <xf numFmtId="167" fontId="24" fillId="2" borderId="195" xfId="0" applyNumberFormat="1" applyFont="1" applyFill="1" applyBorder="1" applyAlignment="1">
      <alignment horizontal="center" vertical="center"/>
    </xf>
    <xf numFmtId="167" fontId="24" fillId="2" borderId="26" xfId="0" applyNumberFormat="1" applyFont="1" applyFill="1" applyBorder="1" applyAlignment="1">
      <alignment horizontal="center" vertical="center"/>
    </xf>
    <xf numFmtId="167" fontId="26" fillId="0" borderId="140" xfId="0" applyNumberFormat="1" applyFont="1" applyBorder="1" applyAlignment="1">
      <alignment horizontal="center"/>
    </xf>
    <xf numFmtId="167" fontId="26" fillId="0" borderId="53" xfId="0" applyNumberFormat="1" applyFont="1" applyBorder="1" applyAlignment="1">
      <alignment horizontal="center"/>
    </xf>
    <xf numFmtId="167" fontId="26" fillId="5" borderId="142" xfId="0" applyNumberFormat="1" applyFont="1" applyFill="1" applyBorder="1" applyAlignment="1">
      <alignment horizontal="center"/>
    </xf>
    <xf numFmtId="167" fontId="26" fillId="5" borderId="14" xfId="0" applyNumberFormat="1" applyFont="1" applyFill="1" applyBorder="1" applyAlignment="1">
      <alignment horizontal="center"/>
    </xf>
    <xf numFmtId="167" fontId="26" fillId="0" borderId="17" xfId="0" applyNumberFormat="1" applyFont="1" applyBorder="1" applyAlignment="1">
      <alignment horizontal="center"/>
    </xf>
    <xf numFmtId="167" fontId="26" fillId="3" borderId="17" xfId="0" applyNumberFormat="1" applyFont="1" applyFill="1" applyBorder="1" applyAlignment="1">
      <alignment horizontal="center"/>
    </xf>
    <xf numFmtId="0" fontId="0" fillId="5" borderId="273" xfId="0" applyFont="1" applyFill="1" applyBorder="1" applyAlignment="1">
      <alignment horizontal="center" vertical="center" textRotation="90"/>
    </xf>
    <xf numFmtId="0" fontId="0" fillId="5" borderId="274" xfId="0" applyFont="1" applyFill="1" applyBorder="1" applyAlignment="1">
      <alignment horizontal="center" vertical="center" textRotation="90"/>
    </xf>
    <xf numFmtId="0" fontId="0" fillId="5" borderId="275" xfId="0" applyFont="1" applyFill="1" applyBorder="1" applyAlignment="1">
      <alignment horizontal="center" vertical="center" textRotation="90"/>
    </xf>
    <xf numFmtId="0" fontId="18" fillId="2" borderId="19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167" fontId="26" fillId="5" borderId="17" xfId="0" applyNumberFormat="1" applyFont="1" applyFill="1" applyBorder="1" applyAlignment="1">
      <alignment horizontal="center"/>
    </xf>
    <xf numFmtId="165" fontId="17" fillId="5" borderId="330" xfId="0" applyNumberFormat="1" applyFont="1" applyFill="1" applyBorder="1" applyAlignment="1">
      <alignment horizontal="left" vertical="center" indent="1"/>
    </xf>
    <xf numFmtId="165" fontId="17" fillId="5" borderId="63" xfId="0" applyNumberFormat="1" applyFont="1" applyFill="1" applyBorder="1" applyAlignment="1">
      <alignment horizontal="left" vertical="center" indent="1"/>
    </xf>
    <xf numFmtId="165" fontId="17" fillId="5" borderId="432" xfId="0" applyNumberFormat="1" applyFont="1" applyFill="1" applyBorder="1" applyAlignment="1">
      <alignment horizontal="left" vertical="center" indent="1"/>
    </xf>
    <xf numFmtId="0" fontId="17" fillId="5" borderId="410" xfId="0" applyFont="1" applyFill="1" applyBorder="1" applyAlignment="1">
      <alignment horizontal="center" vertical="center"/>
    </xf>
    <xf numFmtId="0" fontId="17" fillId="5" borderId="283" xfId="0" applyFont="1" applyFill="1" applyBorder="1" applyAlignment="1">
      <alignment horizontal="center" vertical="center"/>
    </xf>
    <xf numFmtId="0" fontId="17" fillId="5" borderId="286" xfId="0" applyFont="1" applyFill="1" applyBorder="1" applyAlignment="1">
      <alignment horizontal="center" vertical="center"/>
    </xf>
    <xf numFmtId="166" fontId="37" fillId="6" borderId="296" xfId="0" applyNumberFormat="1" applyFont="1" applyFill="1" applyBorder="1" applyAlignment="1">
      <alignment horizontal="center" vertical="center"/>
    </xf>
    <xf numFmtId="166" fontId="37" fillId="6" borderId="63" xfId="0" applyNumberFormat="1" applyFont="1" applyFill="1" applyBorder="1" applyAlignment="1">
      <alignment horizontal="center" vertical="center"/>
    </xf>
    <xf numFmtId="166" fontId="37" fillId="6" borderId="432" xfId="0" applyNumberFormat="1" applyFont="1" applyFill="1" applyBorder="1" applyAlignment="1">
      <alignment horizontal="center" vertical="center"/>
    </xf>
    <xf numFmtId="167" fontId="24" fillId="2" borderId="251" xfId="0" applyNumberFormat="1" applyFont="1" applyFill="1" applyBorder="1" applyAlignment="1">
      <alignment horizontal="center" vertical="center"/>
    </xf>
    <xf numFmtId="167" fontId="26" fillId="0" borderId="32" xfId="0" applyNumberFormat="1" applyFont="1" applyBorder="1" applyAlignment="1">
      <alignment horizontal="center"/>
    </xf>
    <xf numFmtId="167" fontId="24" fillId="2" borderId="27" xfId="0" applyNumberFormat="1" applyFont="1" applyFill="1" applyBorder="1" applyAlignment="1">
      <alignment horizontal="center" vertical="center"/>
    </xf>
    <xf numFmtId="167" fontId="24" fillId="2" borderId="81" xfId="0" applyNumberFormat="1" applyFont="1" applyFill="1" applyBorder="1" applyAlignment="1">
      <alignment horizontal="center" vertical="center"/>
    </xf>
    <xf numFmtId="0" fontId="18" fillId="2" borderId="201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5" fontId="26" fillId="5" borderId="32" xfId="0" applyNumberFormat="1" applyFont="1" applyFill="1" applyBorder="1" applyAlignment="1">
      <alignment horizontal="left" vertical="center" indent="1"/>
    </xf>
    <xf numFmtId="165" fontId="26" fillId="5" borderId="33" xfId="0" applyNumberFormat="1" applyFont="1" applyFill="1" applyBorder="1" applyAlignment="1">
      <alignment horizontal="left" vertical="center" indent="1"/>
    </xf>
    <xf numFmtId="165" fontId="26" fillId="5" borderId="53" xfId="0" applyNumberFormat="1" applyFont="1" applyFill="1" applyBorder="1" applyAlignment="1">
      <alignment horizontal="left" vertical="center" indent="1"/>
    </xf>
    <xf numFmtId="0" fontId="113" fillId="2" borderId="426" xfId="0" applyFont="1" applyFill="1" applyBorder="1" applyAlignment="1">
      <alignment horizontal="center" vertical="center"/>
    </xf>
    <xf numFmtId="0" fontId="113" fillId="2" borderId="80" xfId="0" applyFont="1" applyFill="1" applyBorder="1" applyAlignment="1">
      <alignment horizontal="center" vertical="center"/>
    </xf>
    <xf numFmtId="0" fontId="113" fillId="2" borderId="427" xfId="0" applyFont="1" applyFill="1" applyBorder="1" applyAlignment="1">
      <alignment horizontal="center" vertical="center"/>
    </xf>
    <xf numFmtId="0" fontId="113" fillId="3" borderId="291" xfId="0" applyFont="1" applyFill="1" applyBorder="1" applyAlignment="1">
      <alignment horizontal="center" vertical="center"/>
    </xf>
    <xf numFmtId="0" fontId="113" fillId="3" borderId="42" xfId="0" applyFont="1" applyFill="1" applyBorder="1" applyAlignment="1">
      <alignment horizontal="center" vertical="center"/>
    </xf>
    <xf numFmtId="0" fontId="113" fillId="3" borderId="9" xfId="0" applyFont="1" applyFill="1" applyBorder="1" applyAlignment="1">
      <alignment horizontal="center" vertical="center"/>
    </xf>
    <xf numFmtId="0" fontId="113" fillId="3" borderId="132" xfId="0" applyFont="1" applyFill="1" applyBorder="1" applyAlignment="1">
      <alignment horizontal="center" vertical="center"/>
    </xf>
    <xf numFmtId="0" fontId="17" fillId="5" borderId="61" xfId="0" applyFont="1" applyFill="1" applyBorder="1" applyAlignment="1">
      <alignment horizontal="center" vertical="center"/>
    </xf>
    <xf numFmtId="0" fontId="17" fillId="5" borderId="284" xfId="0" applyFont="1" applyFill="1" applyBorder="1" applyAlignment="1">
      <alignment horizontal="center" vertical="center"/>
    </xf>
    <xf numFmtId="173" fontId="26" fillId="5" borderId="140" xfId="0" applyNumberFormat="1" applyFont="1" applyFill="1" applyBorder="1" applyAlignment="1">
      <alignment horizontal="center" vertical="center"/>
    </xf>
    <xf numFmtId="173" fontId="26" fillId="5" borderId="33" xfId="0" applyNumberFormat="1" applyFont="1" applyFill="1" applyBorder="1" applyAlignment="1">
      <alignment horizontal="center" vertical="center"/>
    </xf>
    <xf numFmtId="173" fontId="26" fillId="5" borderId="40" xfId="0" applyNumberFormat="1" applyFont="1" applyFill="1" applyBorder="1" applyAlignment="1">
      <alignment horizontal="center" vertical="center"/>
    </xf>
    <xf numFmtId="3" fontId="20" fillId="3" borderId="2" xfId="0" applyNumberFormat="1" applyFont="1" applyFill="1" applyBorder="1" applyAlignment="1">
      <alignment horizontal="center" vertical="center"/>
    </xf>
    <xf numFmtId="3" fontId="20" fillId="3" borderId="54" xfId="0" applyNumberFormat="1" applyFont="1" applyFill="1" applyBorder="1" applyAlignment="1">
      <alignment horizontal="center" vertical="center"/>
    </xf>
    <xf numFmtId="3" fontId="0" fillId="3" borderId="2" xfId="0" applyNumberFormat="1" applyFont="1" applyFill="1" applyBorder="1" applyAlignment="1">
      <alignment horizontal="center" vertical="center"/>
    </xf>
    <xf numFmtId="3" fontId="0" fillId="3" borderId="54" xfId="0" applyNumberFormat="1" applyFont="1" applyFill="1" applyBorder="1" applyAlignment="1">
      <alignment horizontal="center" vertical="center"/>
    </xf>
    <xf numFmtId="2" fontId="72" fillId="11" borderId="10" xfId="47" applyNumberFormat="1" applyFont="1" applyFill="1" applyBorder="1" applyAlignment="1">
      <alignment horizontal="center" vertical="center"/>
    </xf>
    <xf numFmtId="0" fontId="72" fillId="2" borderId="125" xfId="47" applyFont="1" applyFill="1" applyBorder="1" applyAlignment="1">
      <alignment horizontal="center" vertical="center"/>
    </xf>
    <xf numFmtId="0" fontId="72" fillId="2" borderId="126" xfId="47" applyFont="1" applyFill="1" applyBorder="1" applyAlignment="1">
      <alignment horizontal="center" vertical="center"/>
    </xf>
    <xf numFmtId="2" fontId="33" fillId="2" borderId="20" xfId="47" applyNumberFormat="1" applyFont="1" applyFill="1" applyBorder="1" applyAlignment="1">
      <alignment horizontal="center" vertical="center"/>
    </xf>
    <xf numFmtId="3" fontId="20" fillId="11" borderId="20" xfId="47" applyNumberFormat="1" applyFont="1" applyFill="1" applyBorder="1" applyAlignment="1">
      <alignment horizontal="center" vertical="center"/>
    </xf>
    <xf numFmtId="3" fontId="20" fillId="11" borderId="4" xfId="47" applyNumberFormat="1" applyFont="1" applyFill="1" applyBorder="1" applyAlignment="1">
      <alignment horizontal="center" vertical="center"/>
    </xf>
    <xf numFmtId="3" fontId="72" fillId="11" borderId="10" xfId="47" applyNumberFormat="1" applyFont="1" applyFill="1" applyBorder="1" applyAlignment="1">
      <alignment horizontal="center" vertical="center"/>
    </xf>
    <xf numFmtId="0" fontId="72" fillId="11" borderId="10" xfId="47" applyFont="1" applyFill="1" applyBorder="1" applyAlignment="1">
      <alignment horizontal="center" vertical="center"/>
    </xf>
    <xf numFmtId="3" fontId="72" fillId="11" borderId="13" xfId="47" applyNumberFormat="1" applyFont="1" applyFill="1" applyBorder="1" applyAlignment="1">
      <alignment horizontal="center" vertical="center"/>
    </xf>
    <xf numFmtId="3" fontId="72" fillId="11" borderId="24" xfId="47" applyNumberFormat="1" applyFont="1" applyFill="1" applyBorder="1" applyAlignment="1">
      <alignment horizontal="center" vertical="center"/>
    </xf>
    <xf numFmtId="3" fontId="72" fillId="11" borderId="156" xfId="47" applyNumberFormat="1" applyFont="1" applyFill="1" applyBorder="1" applyAlignment="1">
      <alignment horizontal="center" vertical="center"/>
    </xf>
    <xf numFmtId="0" fontId="72" fillId="11" borderId="156" xfId="47" applyFont="1" applyFill="1" applyBorder="1" applyAlignment="1">
      <alignment horizontal="center" vertical="center"/>
    </xf>
    <xf numFmtId="3" fontId="72" fillId="11" borderId="2" xfId="47" applyNumberFormat="1" applyFont="1" applyFill="1" applyBorder="1" applyAlignment="1">
      <alignment horizontal="right" vertical="center" indent="1"/>
    </xf>
    <xf numFmtId="3" fontId="72" fillId="11" borderId="3" xfId="47" applyNumberFormat="1" applyFont="1" applyFill="1" applyBorder="1" applyAlignment="1">
      <alignment horizontal="right" vertical="center" indent="1"/>
    </xf>
    <xf numFmtId="3" fontId="72" fillId="11" borderId="54" xfId="47" applyNumberFormat="1" applyFont="1" applyFill="1" applyBorder="1" applyAlignment="1">
      <alignment horizontal="right" vertical="center" indent="1"/>
    </xf>
    <xf numFmtId="0" fontId="72" fillId="2" borderId="130" xfId="47" applyFont="1" applyFill="1" applyBorder="1" applyAlignment="1">
      <alignment horizontal="center" vertical="center"/>
    </xf>
    <xf numFmtId="0" fontId="72" fillId="2" borderId="131" xfId="47" applyFont="1" applyFill="1" applyBorder="1" applyAlignment="1">
      <alignment horizontal="center" vertical="center"/>
    </xf>
    <xf numFmtId="0" fontId="24" fillId="28" borderId="1" xfId="47" applyFont="1" applyFill="1" applyBorder="1" applyAlignment="1">
      <alignment horizontal="center" vertical="center"/>
    </xf>
    <xf numFmtId="0" fontId="24" fillId="27" borderId="1" xfId="47" applyFont="1" applyFill="1" applyBorder="1" applyAlignment="1">
      <alignment horizontal="center" vertical="center"/>
    </xf>
    <xf numFmtId="0" fontId="24" fillId="31" borderId="1" xfId="47" applyFont="1" applyFill="1" applyBorder="1" applyAlignment="1">
      <alignment horizontal="center" vertical="center"/>
    </xf>
    <xf numFmtId="0" fontId="24" fillId="29" borderId="1" xfId="47" applyFont="1" applyFill="1" applyBorder="1" applyAlignment="1">
      <alignment horizontal="center" vertical="center"/>
    </xf>
    <xf numFmtId="2" fontId="33" fillId="2" borderId="13" xfId="47" applyNumberFormat="1" applyFont="1" applyFill="1" applyBorder="1" applyAlignment="1">
      <alignment horizontal="center" vertical="center"/>
    </xf>
    <xf numFmtId="3" fontId="72" fillId="11" borderId="29" xfId="47" applyNumberFormat="1" applyFont="1" applyFill="1" applyBorder="1" applyAlignment="1">
      <alignment horizontal="right" vertical="center" indent="1"/>
    </xf>
    <xf numFmtId="0" fontId="72" fillId="11" borderId="29" xfId="47" applyFont="1" applyFill="1" applyBorder="1" applyAlignment="1">
      <alignment horizontal="right" vertical="center" indent="1"/>
    </xf>
    <xf numFmtId="0" fontId="72" fillId="11" borderId="254" xfId="47" applyFont="1" applyFill="1" applyBorder="1" applyAlignment="1">
      <alignment horizontal="right" vertical="center" indent="1"/>
    </xf>
    <xf numFmtId="0" fontId="72" fillId="2" borderId="2" xfId="47" applyFont="1" applyFill="1" applyBorder="1" applyAlignment="1">
      <alignment horizontal="center" vertical="center"/>
    </xf>
    <xf numFmtId="0" fontId="72" fillId="2" borderId="54" xfId="47" applyFont="1" applyFill="1" applyBorder="1" applyAlignment="1">
      <alignment horizontal="center" vertical="center"/>
    </xf>
    <xf numFmtId="0" fontId="72" fillId="11" borderId="2" xfId="47" applyFont="1" applyFill="1" applyBorder="1" applyAlignment="1">
      <alignment horizontal="right" vertical="center" indent="1"/>
    </xf>
    <xf numFmtId="0" fontId="72" fillId="11" borderId="3" xfId="47" applyFont="1" applyFill="1" applyBorder="1" applyAlignment="1">
      <alignment horizontal="right" vertical="center" indent="1"/>
    </xf>
    <xf numFmtId="0" fontId="72" fillId="11" borderId="54" xfId="47" applyFont="1" applyFill="1" applyBorder="1" applyAlignment="1">
      <alignment horizontal="right" vertical="center" indent="1"/>
    </xf>
    <xf numFmtId="0" fontId="72" fillId="29" borderId="127" xfId="47" applyFont="1" applyFill="1" applyBorder="1" applyAlignment="1">
      <alignment horizontal="left" vertical="center"/>
    </xf>
    <xf numFmtId="0" fontId="72" fillId="29" borderId="30" xfId="47" applyFont="1" applyFill="1" applyBorder="1" applyAlignment="1">
      <alignment horizontal="left" vertical="center"/>
    </xf>
    <xf numFmtId="3" fontId="72" fillId="11" borderId="2" xfId="47" applyNumberFormat="1" applyFont="1" applyFill="1" applyBorder="1" applyAlignment="1">
      <alignment horizontal="center" vertical="center"/>
    </xf>
    <xf numFmtId="3" fontId="72" fillId="11" borderId="245" xfId="47" applyNumberFormat="1" applyFont="1" applyFill="1" applyBorder="1" applyAlignment="1">
      <alignment horizontal="center" vertical="center"/>
    </xf>
    <xf numFmtId="3" fontId="72" fillId="11" borderId="1" xfId="47" applyNumberFormat="1" applyFont="1" applyFill="1" applyBorder="1" applyAlignment="1">
      <alignment horizontal="center" vertical="center"/>
    </xf>
    <xf numFmtId="0" fontId="72" fillId="11" borderId="1" xfId="47" applyFont="1" applyFill="1" applyBorder="1" applyAlignment="1">
      <alignment horizontal="center" vertical="center"/>
    </xf>
    <xf numFmtId="0" fontId="72" fillId="11" borderId="246" xfId="47" applyFont="1" applyFill="1" applyBorder="1" applyAlignment="1">
      <alignment horizontal="center" vertical="center"/>
    </xf>
    <xf numFmtId="0" fontId="72" fillId="11" borderId="3" xfId="47" applyFont="1" applyFill="1" applyBorder="1" applyAlignment="1">
      <alignment horizontal="center" vertical="center"/>
    </xf>
    <xf numFmtId="0" fontId="72" fillId="11" borderId="245" xfId="47" applyFont="1" applyFill="1" applyBorder="1" applyAlignment="1">
      <alignment horizontal="center" vertical="center"/>
    </xf>
    <xf numFmtId="3" fontId="72" fillId="11" borderId="1" xfId="47" applyNumberFormat="1" applyFont="1" applyFill="1" applyBorder="1" applyAlignment="1">
      <alignment horizontal="right" vertical="center" indent="1"/>
    </xf>
    <xf numFmtId="0" fontId="72" fillId="11" borderId="1" xfId="47" applyFont="1" applyFill="1" applyBorder="1" applyAlignment="1">
      <alignment horizontal="right" vertical="center" indent="1"/>
    </xf>
    <xf numFmtId="0" fontId="72" fillId="11" borderId="246" xfId="47" applyFont="1" applyFill="1" applyBorder="1" applyAlignment="1">
      <alignment horizontal="right" vertical="center" indent="1"/>
    </xf>
    <xf numFmtId="0" fontId="24" fillId="15" borderId="250" xfId="47" applyFont="1" applyFill="1" applyBorder="1" applyAlignment="1">
      <alignment horizontal="center" vertical="center" textRotation="90"/>
    </xf>
    <xf numFmtId="0" fontId="72" fillId="30" borderId="27" xfId="47" applyFont="1" applyFill="1" applyBorder="1" applyAlignment="1">
      <alignment horizontal="center" vertical="center"/>
    </xf>
    <xf numFmtId="3" fontId="24" fillId="2" borderId="27" xfId="47" applyNumberFormat="1" applyFont="1" applyFill="1" applyBorder="1" applyAlignment="1">
      <alignment horizontal="center" vertical="center"/>
    </xf>
    <xf numFmtId="0" fontId="72" fillId="0" borderId="29" xfId="47" applyFont="1" applyBorder="1" applyAlignment="1">
      <alignment horizontal="center" vertical="center" textRotation="90"/>
    </xf>
    <xf numFmtId="0" fontId="72" fillId="0" borderId="86" xfId="47" applyFont="1" applyBorder="1" applyAlignment="1">
      <alignment horizontal="center" vertical="center" textRotation="90"/>
    </xf>
    <xf numFmtId="0" fontId="72" fillId="30" borderId="46" xfId="47" applyFont="1" applyFill="1" applyBorder="1" applyAlignment="1">
      <alignment horizontal="center" vertical="center"/>
    </xf>
    <xf numFmtId="3" fontId="20" fillId="11" borderId="46" xfId="47" applyNumberFormat="1" applyFont="1" applyFill="1" applyBorder="1" applyAlignment="1">
      <alignment horizontal="center" vertical="center"/>
    </xf>
    <xf numFmtId="3" fontId="20" fillId="11" borderId="224" xfId="47" applyNumberFormat="1" applyFont="1" applyFill="1" applyBorder="1" applyAlignment="1">
      <alignment horizontal="center" vertical="center"/>
    </xf>
    <xf numFmtId="3" fontId="24" fillId="2" borderId="81" xfId="47" applyNumberFormat="1" applyFont="1" applyFill="1" applyBorder="1" applyAlignment="1">
      <alignment horizontal="center" vertical="center"/>
    </xf>
    <xf numFmtId="0" fontId="24" fillId="0" borderId="248" xfId="47" applyFont="1" applyBorder="1" applyAlignment="1">
      <alignment horizontal="center" vertical="center"/>
    </xf>
    <xf numFmtId="0" fontId="18" fillId="0" borderId="248" xfId="47" applyFont="1" applyBorder="1" applyAlignment="1">
      <alignment horizontal="center" vertical="center"/>
    </xf>
    <xf numFmtId="0" fontId="18" fillId="0" borderId="249" xfId="47" applyFont="1" applyBorder="1" applyAlignment="1">
      <alignment horizontal="center" vertical="center"/>
    </xf>
    <xf numFmtId="0" fontId="72" fillId="3" borderId="29" xfId="47" applyFont="1" applyFill="1" applyBorder="1" applyAlignment="1">
      <alignment horizontal="center" vertical="center"/>
    </xf>
    <xf numFmtId="4" fontId="72" fillId="11" borderId="63" xfId="47" applyNumberFormat="1" applyFont="1" applyFill="1" applyBorder="1" applyAlignment="1">
      <alignment horizontal="right" vertical="center" indent="1"/>
    </xf>
    <xf numFmtId="4" fontId="72" fillId="11" borderId="64" xfId="47" applyNumberFormat="1" applyFont="1" applyFill="1" applyBorder="1" applyAlignment="1">
      <alignment horizontal="right" vertical="center" indent="1"/>
    </xf>
    <xf numFmtId="3" fontId="72" fillId="11" borderId="49" xfId="47" applyNumberFormat="1" applyFont="1" applyFill="1" applyBorder="1" applyAlignment="1">
      <alignment horizontal="right" vertical="center" indent="1"/>
    </xf>
    <xf numFmtId="3" fontId="72" fillId="11" borderId="57" xfId="47" applyNumberFormat="1" applyFont="1" applyFill="1" applyBorder="1" applyAlignment="1">
      <alignment horizontal="right" vertical="center" indent="1"/>
    </xf>
    <xf numFmtId="3" fontId="72" fillId="11" borderId="13" xfId="47" applyNumberFormat="1" applyFont="1" applyFill="1" applyBorder="1" applyAlignment="1">
      <alignment horizontal="right" vertical="center" indent="1"/>
    </xf>
    <xf numFmtId="3" fontId="72" fillId="11" borderId="24" xfId="47" applyNumberFormat="1" applyFont="1" applyFill="1" applyBorder="1" applyAlignment="1">
      <alignment horizontal="right" vertical="center" indent="1"/>
    </xf>
    <xf numFmtId="3" fontId="20" fillId="11" borderId="31" xfId="47" applyNumberFormat="1" applyFont="1" applyFill="1" applyBorder="1" applyAlignment="1">
      <alignment horizontal="right" vertical="center" indent="1"/>
    </xf>
    <xf numFmtId="3" fontId="20" fillId="11" borderId="44" xfId="47" applyNumberFormat="1" applyFont="1" applyFill="1" applyBorder="1" applyAlignment="1">
      <alignment horizontal="right" vertical="center" indent="1"/>
    </xf>
    <xf numFmtId="3" fontId="20" fillId="11" borderId="233" xfId="47" applyNumberFormat="1" applyFont="1" applyFill="1" applyBorder="1" applyAlignment="1">
      <alignment horizontal="right" vertical="center" indent="1"/>
    </xf>
    <xf numFmtId="3" fontId="72" fillId="11" borderId="46" xfId="47" applyNumberFormat="1" applyFont="1" applyFill="1" applyBorder="1" applyAlignment="1">
      <alignment horizontal="right" vertical="center" indent="1"/>
    </xf>
    <xf numFmtId="3" fontId="72" fillId="11" borderId="224" xfId="47" applyNumberFormat="1" applyFont="1" applyFill="1" applyBorder="1" applyAlignment="1">
      <alignment horizontal="right" vertical="center" indent="1"/>
    </xf>
    <xf numFmtId="49" fontId="31" fillId="16" borderId="59" xfId="47" applyNumberFormat="1" applyFont="1" applyFill="1" applyBorder="1" applyAlignment="1">
      <alignment horizontal="center" vertical="center"/>
    </xf>
    <xf numFmtId="49" fontId="31" fillId="16" borderId="225" xfId="47" applyNumberFormat="1" applyFont="1" applyFill="1" applyBorder="1" applyAlignment="1">
      <alignment horizontal="center" vertical="center"/>
    </xf>
    <xf numFmtId="49" fontId="31" fillId="16" borderId="92" xfId="47" applyNumberFormat="1" applyFont="1" applyFill="1" applyBorder="1" applyAlignment="1">
      <alignment horizontal="center" vertical="center"/>
    </xf>
    <xf numFmtId="0" fontId="43" fillId="18" borderId="219" xfId="47" applyFont="1" applyFill="1" applyBorder="1" applyAlignment="1">
      <alignment horizontal="center" vertical="center" textRotation="90"/>
    </xf>
    <xf numFmtId="0" fontId="43" fillId="18" borderId="114" xfId="47" applyFont="1" applyFill="1" applyBorder="1" applyAlignment="1">
      <alignment horizontal="center" vertical="center" textRotation="90"/>
    </xf>
    <xf numFmtId="0" fontId="43" fillId="18" borderId="228" xfId="47" applyFont="1" applyFill="1" applyBorder="1" applyAlignment="1">
      <alignment horizontal="center" vertical="center" textRotation="90"/>
    </xf>
    <xf numFmtId="49" fontId="31" fillId="16" borderId="58" xfId="47" applyNumberFormat="1" applyFont="1" applyFill="1" applyBorder="1" applyAlignment="1">
      <alignment horizontal="center" vertical="center"/>
    </xf>
    <xf numFmtId="49" fontId="31" fillId="16" borderId="220" xfId="47" applyNumberFormat="1" applyFont="1" applyFill="1" applyBorder="1" applyAlignment="1">
      <alignment horizontal="center" vertical="center"/>
    </xf>
    <xf numFmtId="49" fontId="31" fillId="16" borderId="73" xfId="47" applyNumberFormat="1" applyFont="1" applyFill="1" applyBorder="1" applyAlignment="1">
      <alignment horizontal="center" vertical="center"/>
    </xf>
    <xf numFmtId="0" fontId="43" fillId="18" borderId="74" xfId="47" applyFont="1" applyFill="1" applyBorder="1" applyAlignment="1">
      <alignment horizontal="center" vertical="center" textRotation="90"/>
    </xf>
    <xf numFmtId="0" fontId="43" fillId="18" borderId="0" xfId="47" applyFont="1" applyFill="1" applyBorder="1" applyAlignment="1">
      <alignment horizontal="center" vertical="center" textRotation="90"/>
    </xf>
    <xf numFmtId="3" fontId="72" fillId="11" borderId="33" xfId="47" applyNumberFormat="1" applyFont="1" applyFill="1" applyBorder="1" applyAlignment="1">
      <alignment horizontal="right" vertical="center" indent="1"/>
    </xf>
    <xf numFmtId="3" fontId="72" fillId="11" borderId="40" xfId="47" applyNumberFormat="1" applyFont="1" applyFill="1" applyBorder="1" applyAlignment="1">
      <alignment horizontal="right" vertical="center" indent="1"/>
    </xf>
    <xf numFmtId="49" fontId="33" fillId="21" borderId="5" xfId="47" applyNumberFormat="1" applyFont="1" applyFill="1" applyBorder="1" applyAlignment="1">
      <alignment horizontal="center" vertical="center"/>
    </xf>
    <xf numFmtId="49" fontId="33" fillId="21" borderId="42" xfId="47" applyNumberFormat="1" applyFont="1" applyFill="1" applyBorder="1" applyAlignment="1">
      <alignment horizontal="center" vertical="center"/>
    </xf>
    <xf numFmtId="49" fontId="33" fillId="21" borderId="9" xfId="47" applyNumberFormat="1" applyFont="1" applyFill="1" applyBorder="1" applyAlignment="1">
      <alignment horizontal="center" vertical="center"/>
    </xf>
    <xf numFmtId="49" fontId="33" fillId="21" borderId="132" xfId="47" applyNumberFormat="1" applyFont="1" applyFill="1" applyBorder="1" applyAlignment="1">
      <alignment horizontal="center" vertical="center"/>
    </xf>
    <xf numFmtId="49" fontId="31" fillId="16" borderId="133" xfId="47" applyNumberFormat="1" applyFont="1" applyFill="1" applyBorder="1" applyAlignment="1">
      <alignment horizontal="center" vertical="center"/>
    </xf>
    <xf numFmtId="49" fontId="31" fillId="16" borderId="21" xfId="47" applyNumberFormat="1" applyFont="1" applyFill="1" applyBorder="1" applyAlignment="1">
      <alignment horizontal="center" vertical="center"/>
    </xf>
    <xf numFmtId="3" fontId="26" fillId="2" borderId="43" xfId="47" applyNumberFormat="1" applyFont="1" applyFill="1" applyBorder="1" applyAlignment="1">
      <alignment horizontal="right" vertical="center" indent="1"/>
    </xf>
    <xf numFmtId="3" fontId="26" fillId="2" borderId="18" xfId="47" applyNumberFormat="1" applyFont="1" applyFill="1" applyBorder="1" applyAlignment="1">
      <alignment horizontal="right" vertical="center" indent="1"/>
    </xf>
    <xf numFmtId="49" fontId="31" fillId="16" borderId="213" xfId="47" applyNumberFormat="1" applyFont="1" applyFill="1" applyBorder="1" applyAlignment="1">
      <alignment horizontal="center" vertical="center"/>
    </xf>
    <xf numFmtId="49" fontId="31" fillId="16" borderId="214" xfId="47" applyNumberFormat="1" applyFont="1" applyFill="1" applyBorder="1" applyAlignment="1">
      <alignment horizontal="center" vertical="center"/>
    </xf>
    <xf numFmtId="49" fontId="31" fillId="16" borderId="91" xfId="47" applyNumberFormat="1" applyFont="1" applyFill="1" applyBorder="1" applyAlignment="1">
      <alignment horizontal="center" vertical="center"/>
    </xf>
    <xf numFmtId="3" fontId="26" fillId="2" borderId="20" xfId="47" applyNumberFormat="1" applyFont="1" applyFill="1" applyBorder="1" applyAlignment="1">
      <alignment horizontal="right" vertical="center" indent="1"/>
    </xf>
    <xf numFmtId="3" fontId="26" fillId="2" borderId="4" xfId="47" applyNumberFormat="1" applyFont="1" applyFill="1" applyBorder="1" applyAlignment="1">
      <alignment horizontal="right" vertical="center" indent="1"/>
    </xf>
    <xf numFmtId="0" fontId="37" fillId="15" borderId="112" xfId="47" applyFont="1" applyFill="1" applyBorder="1" applyAlignment="1">
      <alignment horizontal="center" vertical="center" textRotation="90"/>
    </xf>
    <xf numFmtId="0" fontId="37" fillId="15" borderId="114" xfId="47" applyFont="1" applyFill="1" applyBorder="1" applyAlignment="1">
      <alignment horizontal="center" vertical="center" textRotation="90"/>
    </xf>
    <xf numFmtId="0" fontId="37" fillId="15" borderId="0" xfId="47" applyFont="1" applyFill="1" applyBorder="1" applyAlignment="1">
      <alignment horizontal="center" vertical="center" textRotation="90"/>
    </xf>
    <xf numFmtId="0" fontId="37" fillId="15" borderId="173" xfId="47" applyFont="1" applyFill="1" applyBorder="1" applyAlignment="1">
      <alignment horizontal="center" vertical="center" textRotation="90"/>
    </xf>
    <xf numFmtId="0" fontId="18" fillId="0" borderId="185" xfId="47" applyFont="1" applyBorder="1" applyAlignment="1">
      <alignment horizontal="center" vertical="center"/>
    </xf>
    <xf numFmtId="0" fontId="18" fillId="0" borderId="94" xfId="47" applyFont="1" applyBorder="1" applyAlignment="1">
      <alignment horizontal="center" vertical="center"/>
    </xf>
    <xf numFmtId="3" fontId="26" fillId="2" borderId="68" xfId="47" applyNumberFormat="1" applyFont="1" applyFill="1" applyBorder="1" applyAlignment="1">
      <alignment horizontal="right" vertical="center" indent="1"/>
    </xf>
    <xf numFmtId="3" fontId="26" fillId="2" borderId="69" xfId="47" applyNumberFormat="1" applyFont="1" applyFill="1" applyBorder="1" applyAlignment="1">
      <alignment horizontal="right" vertical="center" indent="1"/>
    </xf>
    <xf numFmtId="3" fontId="26" fillId="2" borderId="13" xfId="47" applyNumberFormat="1" applyFont="1" applyFill="1" applyBorder="1" applyAlignment="1">
      <alignment horizontal="right" vertical="center" indent="1"/>
    </xf>
    <xf numFmtId="3" fontId="26" fillId="2" borderId="24" xfId="47" applyNumberFormat="1" applyFont="1" applyFill="1" applyBorder="1" applyAlignment="1">
      <alignment horizontal="right" vertical="center" indent="1"/>
    </xf>
    <xf numFmtId="0" fontId="43" fillId="14" borderId="0" xfId="47" applyFont="1" applyFill="1" applyBorder="1" applyAlignment="1">
      <alignment horizontal="center" vertical="center" textRotation="90"/>
    </xf>
    <xf numFmtId="0" fontId="43" fillId="14" borderId="173" xfId="47" applyFont="1" applyFill="1" applyBorder="1" applyAlignment="1">
      <alignment horizontal="center" vertical="center" textRotation="90"/>
    </xf>
    <xf numFmtId="3" fontId="26" fillId="2" borderId="167" xfId="47" applyNumberFormat="1" applyFont="1" applyFill="1" applyBorder="1" applyAlignment="1">
      <alignment horizontal="center" vertical="center"/>
    </xf>
    <xf numFmtId="3" fontId="26" fillId="2" borderId="21" xfId="47" applyNumberFormat="1" applyFont="1" applyFill="1" applyBorder="1" applyAlignment="1">
      <alignment horizontal="center" vertical="center"/>
    </xf>
    <xf numFmtId="2" fontId="37" fillId="2" borderId="168" xfId="47" applyNumberFormat="1" applyFont="1" applyFill="1" applyBorder="1" applyAlignment="1">
      <alignment horizontal="center" vertical="center"/>
    </xf>
    <xf numFmtId="2" fontId="37" fillId="2" borderId="169" xfId="47" applyNumberFormat="1" applyFont="1" applyFill="1" applyBorder="1" applyAlignment="1">
      <alignment horizontal="center" vertical="center"/>
    </xf>
    <xf numFmtId="2" fontId="26" fillId="2" borderId="10" xfId="47" applyNumberFormat="1" applyFont="1" applyFill="1" applyBorder="1" applyAlignment="1">
      <alignment horizontal="center" vertical="center"/>
    </xf>
    <xf numFmtId="2" fontId="26" fillId="2" borderId="11" xfId="47" applyNumberFormat="1" applyFont="1" applyFill="1" applyBorder="1" applyAlignment="1">
      <alignment horizontal="center" vertical="center"/>
    </xf>
    <xf numFmtId="2" fontId="37" fillId="2" borderId="10" xfId="47" applyNumberFormat="1" applyFont="1" applyFill="1" applyBorder="1" applyAlignment="1">
      <alignment horizontal="center" vertical="center"/>
    </xf>
    <xf numFmtId="2" fontId="37" fillId="2" borderId="11" xfId="47" applyNumberFormat="1" applyFont="1" applyFill="1" applyBorder="1" applyAlignment="1">
      <alignment horizontal="center" vertical="center"/>
    </xf>
    <xf numFmtId="0" fontId="26" fillId="2" borderId="10" xfId="47" applyFont="1" applyFill="1" applyBorder="1" applyAlignment="1">
      <alignment horizontal="center" vertical="center"/>
    </xf>
    <xf numFmtId="0" fontId="26" fillId="2" borderId="11" xfId="47" applyFont="1" applyFill="1" applyBorder="1" applyAlignment="1">
      <alignment horizontal="center" vertical="center"/>
    </xf>
    <xf numFmtId="0" fontId="72" fillId="0" borderId="1" xfId="47" applyFont="1" applyBorder="1" applyAlignment="1">
      <alignment horizontal="center" vertical="center" textRotation="90"/>
    </xf>
    <xf numFmtId="0" fontId="72" fillId="0" borderId="2" xfId="47" applyFont="1" applyBorder="1" applyAlignment="1">
      <alignment horizontal="center" vertical="center" textRotation="90"/>
    </xf>
    <xf numFmtId="0" fontId="72" fillId="14" borderId="85" xfId="47" applyFont="1" applyFill="1" applyBorder="1" applyAlignment="1">
      <alignment horizontal="center" vertical="center" textRotation="90"/>
    </xf>
    <xf numFmtId="0" fontId="72" fillId="14" borderId="181" xfId="47" applyFont="1" applyFill="1" applyBorder="1" applyAlignment="1">
      <alignment horizontal="center" vertical="center" textRotation="90"/>
    </xf>
    <xf numFmtId="0" fontId="72" fillId="14" borderId="0" xfId="47" applyFont="1" applyFill="1" applyBorder="1" applyAlignment="1">
      <alignment horizontal="center" vertical="center" textRotation="90"/>
    </xf>
    <xf numFmtId="0" fontId="72" fillId="14" borderId="173" xfId="47" applyFont="1" applyFill="1" applyBorder="1" applyAlignment="1">
      <alignment horizontal="center" vertical="center" textRotation="90"/>
    </xf>
    <xf numFmtId="0" fontId="72" fillId="14" borderId="7" xfId="47" applyFont="1" applyFill="1" applyBorder="1" applyAlignment="1">
      <alignment horizontal="center" vertical="center" textRotation="90"/>
    </xf>
    <xf numFmtId="0" fontId="72" fillId="14" borderId="179" xfId="47" applyFont="1" applyFill="1" applyBorder="1" applyAlignment="1">
      <alignment horizontal="center" vertical="center" textRotation="90"/>
    </xf>
    <xf numFmtId="0" fontId="72" fillId="14" borderId="34" xfId="47" applyFont="1" applyFill="1" applyBorder="1" applyAlignment="1">
      <alignment horizontal="center" vertical="center" textRotation="90"/>
    </xf>
    <xf numFmtId="0" fontId="72" fillId="14" borderId="180" xfId="47" applyFont="1" applyFill="1" applyBorder="1" applyAlignment="1">
      <alignment horizontal="center" vertical="center" textRotation="90"/>
    </xf>
    <xf numFmtId="0" fontId="79" fillId="0" borderId="156" xfId="48" applyFont="1" applyBorder="1" applyAlignment="1">
      <alignment horizontal="left" textRotation="90" wrapText="1"/>
    </xf>
    <xf numFmtId="0" fontId="79" fillId="0" borderId="1" xfId="48" applyFont="1" applyBorder="1" applyAlignment="1">
      <alignment horizontal="left" textRotation="90" wrapText="1"/>
    </xf>
    <xf numFmtId="0" fontId="79" fillId="0" borderId="29" xfId="48" applyFont="1" applyBorder="1" applyAlignment="1">
      <alignment horizontal="left" textRotation="90" wrapText="1"/>
    </xf>
    <xf numFmtId="0" fontId="79" fillId="0" borderId="6" xfId="48" applyFont="1" applyBorder="1" applyAlignment="1">
      <alignment horizontal="left" textRotation="90" wrapText="1"/>
    </xf>
    <xf numFmtId="0" fontId="79" fillId="0" borderId="8" xfId="48" applyFont="1" applyBorder="1" applyAlignment="1">
      <alignment horizontal="left" textRotation="90" wrapText="1"/>
    </xf>
    <xf numFmtId="0" fontId="79" fillId="0" borderId="172" xfId="48" applyFont="1" applyBorder="1" applyAlignment="1">
      <alignment horizontal="left" textRotation="90" wrapText="1"/>
    </xf>
    <xf numFmtId="3" fontId="26" fillId="2" borderId="2" xfId="47" applyNumberFormat="1" applyFont="1" applyFill="1" applyBorder="1" applyAlignment="1">
      <alignment horizontal="center" vertical="center"/>
    </xf>
    <xf numFmtId="3" fontId="26" fillId="2" borderId="158" xfId="47" applyNumberFormat="1" applyFont="1" applyFill="1" applyBorder="1" applyAlignment="1">
      <alignment horizontal="center" vertical="center"/>
    </xf>
    <xf numFmtId="3" fontId="26" fillId="2" borderId="3" xfId="47" applyNumberFormat="1" applyFont="1" applyFill="1" applyBorder="1" applyAlignment="1">
      <alignment horizontal="center" vertical="center"/>
    </xf>
    <xf numFmtId="2" fontId="26" fillId="2" borderId="1" xfId="47" applyNumberFormat="1" applyFont="1" applyFill="1" applyBorder="1" applyAlignment="1">
      <alignment horizontal="center" vertical="center"/>
    </xf>
    <xf numFmtId="2" fontId="26" fillId="2" borderId="8" xfId="47" applyNumberFormat="1" applyFont="1" applyFill="1" applyBorder="1" applyAlignment="1">
      <alignment horizontal="center" vertical="center"/>
    </xf>
    <xf numFmtId="4" fontId="37" fillId="2" borderId="1" xfId="47" applyNumberFormat="1" applyFont="1" applyFill="1" applyBorder="1" applyAlignment="1">
      <alignment horizontal="center" vertical="center"/>
    </xf>
    <xf numFmtId="4" fontId="37" fillId="2" borderId="8" xfId="47" applyNumberFormat="1" applyFont="1" applyFill="1" applyBorder="1" applyAlignment="1">
      <alignment horizontal="center" vertical="center"/>
    </xf>
    <xf numFmtId="0" fontId="26" fillId="2" borderId="1" xfId="47" applyFont="1" applyFill="1" applyBorder="1" applyAlignment="1">
      <alignment horizontal="center" vertical="center"/>
    </xf>
    <xf numFmtId="0" fontId="26" fillId="2" borderId="8" xfId="47" applyFont="1" applyFill="1" applyBorder="1" applyAlignment="1">
      <alignment horizontal="center" vertical="center"/>
    </xf>
    <xf numFmtId="0" fontId="72" fillId="11" borderId="160" xfId="47" applyFont="1" applyFill="1" applyBorder="1" applyAlignment="1">
      <alignment horizontal="center" vertical="center"/>
    </xf>
    <xf numFmtId="0" fontId="79" fillId="0" borderId="79" xfId="48" applyFont="1" applyBorder="1" applyAlignment="1">
      <alignment horizontal="left" textRotation="90" wrapText="1"/>
    </xf>
    <xf numFmtId="0" fontId="79" fillId="0" borderId="162" xfId="48" applyFont="1" applyBorder="1" applyAlignment="1">
      <alignment horizontal="left" textRotation="90" wrapText="1"/>
    </xf>
    <xf numFmtId="4" fontId="37" fillId="2" borderId="152" xfId="47" applyNumberFormat="1" applyFont="1" applyFill="1" applyBorder="1" applyAlignment="1">
      <alignment horizontal="center" vertical="center"/>
    </xf>
    <xf numFmtId="4" fontId="37" fillId="2" borderId="71" xfId="47" applyNumberFormat="1" applyFont="1" applyFill="1" applyBorder="1" applyAlignment="1">
      <alignment horizontal="center" vertical="center"/>
    </xf>
    <xf numFmtId="0" fontId="26" fillId="2" borderId="152" xfId="47" applyFont="1" applyFill="1" applyBorder="1" applyAlignment="1">
      <alignment horizontal="center" vertical="center"/>
    </xf>
    <xf numFmtId="0" fontId="26" fillId="2" borderId="71" xfId="47" applyFont="1" applyFill="1" applyBorder="1" applyAlignment="1">
      <alignment horizontal="center" vertical="center"/>
    </xf>
    <xf numFmtId="0" fontId="79" fillId="0" borderId="155" xfId="48" applyFont="1" applyBorder="1" applyAlignment="1">
      <alignment horizontal="left" textRotation="90" wrapText="1"/>
    </xf>
    <xf numFmtId="0" fontId="79" fillId="0" borderId="161" xfId="48" applyFont="1" applyBorder="1" applyAlignment="1">
      <alignment horizontal="left" textRotation="90" wrapText="1"/>
    </xf>
    <xf numFmtId="0" fontId="79" fillId="0" borderId="171" xfId="48" applyFont="1" applyBorder="1" applyAlignment="1">
      <alignment horizontal="left" textRotation="90" wrapText="1"/>
    </xf>
    <xf numFmtId="0" fontId="72" fillId="11" borderId="54" xfId="47" applyFont="1" applyFill="1" applyBorder="1" applyAlignment="1">
      <alignment horizontal="center" vertical="center"/>
    </xf>
    <xf numFmtId="0" fontId="18" fillId="0" borderId="65" xfId="47" applyFont="1" applyBorder="1" applyAlignment="1">
      <alignment horizontal="center" vertical="center"/>
    </xf>
    <xf numFmtId="0" fontId="18" fillId="0" borderId="42" xfId="47" applyFont="1" applyBorder="1" applyAlignment="1">
      <alignment horizontal="center" vertical="center"/>
    </xf>
    <xf numFmtId="0" fontId="14" fillId="0" borderId="65" xfId="47" applyFont="1" applyBorder="1" applyAlignment="1">
      <alignment horizontal="center" vertical="center"/>
    </xf>
    <xf numFmtId="0" fontId="14" fillId="0" borderId="42" xfId="47" applyFont="1" applyBorder="1" applyAlignment="1">
      <alignment horizontal="center" vertical="center"/>
    </xf>
    <xf numFmtId="3" fontId="26" fillId="2" borderId="147" xfId="47" applyNumberFormat="1" applyFont="1" applyFill="1" applyBorder="1" applyAlignment="1">
      <alignment horizontal="center" vertical="center"/>
    </xf>
    <xf numFmtId="3" fontId="26" fillId="2" borderId="154" xfId="47" applyNumberFormat="1" applyFont="1" applyFill="1" applyBorder="1" applyAlignment="1">
      <alignment horizontal="center" vertical="center"/>
    </xf>
    <xf numFmtId="3" fontId="26" fillId="2" borderId="153" xfId="47" applyNumberFormat="1" applyFont="1" applyFill="1" applyBorder="1" applyAlignment="1">
      <alignment horizontal="center" vertical="center"/>
    </xf>
    <xf numFmtId="2" fontId="26" fillId="2" borderId="147" xfId="47" applyNumberFormat="1" applyFont="1" applyFill="1" applyBorder="1" applyAlignment="1">
      <alignment horizontal="center" vertical="center"/>
    </xf>
    <xf numFmtId="2" fontId="26" fillId="2" borderId="154" xfId="47" applyNumberFormat="1" applyFont="1" applyFill="1" applyBorder="1" applyAlignment="1">
      <alignment horizontal="center" vertical="center"/>
    </xf>
    <xf numFmtId="3" fontId="26" fillId="2" borderId="164" xfId="47" applyNumberFormat="1" applyFont="1" applyFill="1" applyBorder="1" applyAlignment="1">
      <alignment horizontal="center" vertical="center"/>
    </xf>
    <xf numFmtId="3" fontId="26" fillId="2" borderId="165" xfId="47" applyNumberFormat="1" applyFont="1" applyFill="1" applyBorder="1" applyAlignment="1">
      <alignment horizontal="center" vertical="center"/>
    </xf>
    <xf numFmtId="3" fontId="26" fillId="2" borderId="166" xfId="47" applyNumberFormat="1" applyFont="1" applyFill="1" applyBorder="1" applyAlignment="1">
      <alignment horizontal="center" vertical="center"/>
    </xf>
    <xf numFmtId="0" fontId="43" fillId="2" borderId="125" xfId="0" applyFont="1" applyFill="1" applyBorder="1" applyAlignment="1">
      <alignment horizontal="center" vertical="center"/>
    </xf>
    <xf numFmtId="0" fontId="43" fillId="2" borderId="126" xfId="0" applyFont="1" applyFill="1" applyBorder="1" applyAlignment="1">
      <alignment horizontal="center" vertical="center"/>
    </xf>
    <xf numFmtId="165" fontId="41" fillId="2" borderId="2" xfId="0" applyNumberFormat="1" applyFont="1" applyFill="1" applyBorder="1" applyAlignment="1">
      <alignment horizontal="center" vertical="center"/>
    </xf>
    <xf numFmtId="165" fontId="41" fillId="2" borderId="54" xfId="0" applyNumberFormat="1" applyFont="1" applyFill="1" applyBorder="1" applyAlignment="1">
      <alignment horizontal="center" vertical="center"/>
    </xf>
    <xf numFmtId="2" fontId="41" fillId="2" borderId="2" xfId="0" applyNumberFormat="1" applyFont="1" applyFill="1" applyBorder="1" applyAlignment="1">
      <alignment horizontal="center" vertical="center"/>
    </xf>
    <xf numFmtId="2" fontId="41" fillId="2" borderId="54" xfId="0" applyNumberFormat="1" applyFont="1" applyFill="1" applyBorder="1" applyAlignment="1">
      <alignment horizontal="center" vertical="center"/>
    </xf>
    <xf numFmtId="2" fontId="43" fillId="2" borderId="2" xfId="0" applyNumberFormat="1" applyFont="1" applyFill="1" applyBorder="1" applyAlignment="1">
      <alignment horizontal="center" vertical="center"/>
    </xf>
    <xf numFmtId="2" fontId="43" fillId="2" borderId="54" xfId="0" applyNumberFormat="1" applyFont="1" applyFill="1" applyBorder="1" applyAlignment="1">
      <alignment horizontal="center" vertical="center"/>
    </xf>
    <xf numFmtId="2" fontId="43" fillId="2" borderId="125" xfId="0" applyNumberFormat="1" applyFont="1" applyFill="1" applyBorder="1" applyAlignment="1">
      <alignment horizontal="center" vertical="center"/>
    </xf>
    <xf numFmtId="2" fontId="43" fillId="2" borderId="126" xfId="0" applyNumberFormat="1" applyFont="1" applyFill="1" applyBorder="1" applyAlignment="1">
      <alignment horizontal="center" vertical="center"/>
    </xf>
    <xf numFmtId="2" fontId="43" fillId="2" borderId="3" xfId="0" applyNumberFormat="1" applyFont="1" applyFill="1" applyBorder="1" applyAlignment="1">
      <alignment horizontal="center" vertical="center"/>
    </xf>
    <xf numFmtId="165" fontId="41" fillId="2" borderId="1" xfId="0" applyNumberFormat="1" applyFont="1" applyFill="1" applyBorder="1" applyAlignment="1">
      <alignment horizontal="center" vertical="center"/>
    </xf>
    <xf numFmtId="0" fontId="41" fillId="2" borderId="128" xfId="0" applyFont="1" applyFill="1" applyBorder="1" applyAlignment="1">
      <alignment horizontal="center" vertical="center"/>
    </xf>
    <xf numFmtId="0" fontId="41" fillId="2" borderId="129" xfId="0" applyFont="1" applyFill="1" applyBorder="1" applyAlignment="1">
      <alignment horizontal="center" vertical="center"/>
    </xf>
    <xf numFmtId="0" fontId="41" fillId="2" borderId="428" xfId="0" applyFont="1" applyFill="1" applyBorder="1" applyAlignment="1">
      <alignment horizontal="center" vertical="center"/>
    </xf>
    <xf numFmtId="0" fontId="41" fillId="2" borderId="134" xfId="0" applyFont="1" applyFill="1" applyBorder="1" applyAlignment="1">
      <alignment horizontal="center" vertical="center"/>
    </xf>
    <xf numFmtId="165" fontId="41" fillId="2" borderId="128" xfId="0" applyNumberFormat="1" applyFont="1" applyFill="1" applyBorder="1" applyAlignment="1">
      <alignment horizontal="center" vertical="center"/>
    </xf>
    <xf numFmtId="165" fontId="41" fillId="2" borderId="129" xfId="0" applyNumberFormat="1" applyFont="1" applyFill="1" applyBorder="1" applyAlignment="1">
      <alignment horizontal="center" vertical="center"/>
    </xf>
    <xf numFmtId="0" fontId="41" fillId="11" borderId="127" xfId="0" applyFont="1" applyFill="1" applyBorder="1" applyAlignment="1">
      <alignment horizontal="center" vertical="center"/>
    </xf>
    <xf numFmtId="0" fontId="41" fillId="11" borderId="30" xfId="0" applyFont="1" applyFill="1" applyBorder="1" applyAlignment="1">
      <alignment horizontal="center" vertical="center"/>
    </xf>
    <xf numFmtId="165" fontId="18" fillId="3" borderId="2" xfId="0" applyNumberFormat="1" applyFont="1" applyFill="1" applyBorder="1" applyAlignment="1">
      <alignment horizontal="center" vertical="center"/>
    </xf>
    <xf numFmtId="165" fontId="18" fillId="3" borderId="54" xfId="0" applyNumberFormat="1" applyFont="1" applyFill="1" applyBorder="1" applyAlignment="1">
      <alignment horizontal="center" vertical="center"/>
    </xf>
    <xf numFmtId="165" fontId="41" fillId="3" borderId="2" xfId="0" applyNumberFormat="1" applyFont="1" applyFill="1" applyBorder="1" applyAlignment="1">
      <alignment horizontal="center" vertical="center"/>
    </xf>
    <xf numFmtId="165" fontId="41" fillId="3" borderId="54" xfId="0" applyNumberFormat="1" applyFont="1" applyFill="1" applyBorder="1" applyAlignment="1">
      <alignment horizontal="center" vertical="center"/>
    </xf>
    <xf numFmtId="0" fontId="41" fillId="11" borderId="125" xfId="0" applyFont="1" applyFill="1" applyBorder="1" applyAlignment="1">
      <alignment horizontal="center" vertical="center"/>
    </xf>
    <xf numFmtId="0" fontId="41" fillId="11" borderId="126" xfId="0" applyFont="1" applyFill="1" applyBorder="1" applyAlignment="1">
      <alignment horizontal="center" vertical="center"/>
    </xf>
    <xf numFmtId="0" fontId="41" fillId="11" borderId="54" xfId="0" applyFont="1" applyFill="1" applyBorder="1" applyAlignment="1">
      <alignment horizontal="center" vertical="center"/>
    </xf>
    <xf numFmtId="165" fontId="41" fillId="2" borderId="29" xfId="0" applyNumberFormat="1" applyFont="1" applyFill="1" applyBorder="1" applyAlignment="1">
      <alignment horizontal="center" vertical="center"/>
    </xf>
    <xf numFmtId="0" fontId="26" fillId="0" borderId="5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1" fillId="12" borderId="1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41" fillId="12" borderId="2" xfId="0" applyFont="1" applyFill="1" applyBorder="1" applyAlignment="1">
      <alignment horizontal="center" vertical="center"/>
    </xf>
    <xf numFmtId="0" fontId="41" fillId="12" borderId="54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41" fillId="11" borderId="130" xfId="0" applyFont="1" applyFill="1" applyBorder="1" applyAlignment="1">
      <alignment horizontal="center" vertical="center"/>
    </xf>
    <xf numFmtId="0" fontId="41" fillId="11" borderId="131" xfId="0" applyFont="1" applyFill="1" applyBorder="1" applyAlignment="1">
      <alignment horizontal="center" vertical="center"/>
    </xf>
    <xf numFmtId="167" fontId="37" fillId="2" borderId="2" xfId="0" applyNumberFormat="1" applyFont="1" applyFill="1" applyBorder="1" applyAlignment="1">
      <alignment horizontal="center" vertical="center"/>
    </xf>
    <xf numFmtId="167" fontId="37" fillId="2" borderId="54" xfId="0" applyNumberFormat="1" applyFont="1" applyFill="1" applyBorder="1" applyAlignment="1">
      <alignment horizontal="center" vertical="center"/>
    </xf>
    <xf numFmtId="0" fontId="41" fillId="2" borderId="125" xfId="0" applyFont="1" applyFill="1" applyBorder="1" applyAlignment="1">
      <alignment horizontal="center" vertical="center"/>
    </xf>
    <xf numFmtId="0" fontId="41" fillId="2" borderId="126" xfId="0" applyFont="1" applyFill="1" applyBorder="1" applyAlignment="1">
      <alignment horizontal="center" vertical="center"/>
    </xf>
    <xf numFmtId="2" fontId="41" fillId="2" borderId="127" xfId="0" applyNumberFormat="1" applyFont="1" applyFill="1" applyBorder="1" applyAlignment="1">
      <alignment horizontal="center" vertical="center"/>
    </xf>
    <xf numFmtId="2" fontId="41" fillId="2" borderId="30" xfId="0" applyNumberFormat="1" applyFont="1" applyFill="1" applyBorder="1" applyAlignment="1">
      <alignment horizontal="center" vertical="center"/>
    </xf>
    <xf numFmtId="2" fontId="41" fillId="2" borderId="128" xfId="0" applyNumberFormat="1" applyFont="1" applyFill="1" applyBorder="1" applyAlignment="1">
      <alignment horizontal="center" vertical="center"/>
    </xf>
    <xf numFmtId="2" fontId="41" fillId="2" borderId="129" xfId="0" applyNumberFormat="1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  <xf numFmtId="0" fontId="18" fillId="12" borderId="3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50" fillId="3" borderId="291" xfId="0" applyFont="1" applyFill="1" applyBorder="1" applyAlignment="1">
      <alignment horizontal="center" vertical="center"/>
    </xf>
    <xf numFmtId="0" fontId="50" fillId="3" borderId="65" xfId="0" applyFont="1" applyFill="1" applyBorder="1" applyAlignment="1">
      <alignment horizontal="center" vertical="center"/>
    </xf>
    <xf numFmtId="0" fontId="50" fillId="3" borderId="9" xfId="0" applyFont="1" applyFill="1" applyBorder="1" applyAlignment="1">
      <alignment horizontal="center" vertical="center"/>
    </xf>
    <xf numFmtId="0" fontId="50" fillId="3" borderId="163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1" fillId="2" borderId="54" xfId="0" applyFont="1" applyFill="1" applyBorder="1" applyAlignment="1">
      <alignment horizontal="center" vertical="center"/>
    </xf>
    <xf numFmtId="0" fontId="41" fillId="11" borderId="2" xfId="0" applyFont="1" applyFill="1" applyBorder="1" applyAlignment="1">
      <alignment horizontal="center" vertical="center"/>
    </xf>
    <xf numFmtId="0" fontId="41" fillId="11" borderId="3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165" fontId="50" fillId="3" borderId="65" xfId="0" applyNumberFormat="1" applyFont="1" applyFill="1" applyBorder="1" applyAlignment="1">
      <alignment horizontal="center" vertical="center"/>
    </xf>
    <xf numFmtId="165" fontId="50" fillId="3" borderId="42" xfId="0" applyNumberFormat="1" applyFont="1" applyFill="1" applyBorder="1" applyAlignment="1">
      <alignment horizontal="center" vertical="center"/>
    </xf>
    <xf numFmtId="165" fontId="50" fillId="3" borderId="163" xfId="0" applyNumberFormat="1" applyFont="1" applyFill="1" applyBorder="1" applyAlignment="1">
      <alignment horizontal="center" vertical="center"/>
    </xf>
    <xf numFmtId="165" fontId="50" fillId="3" borderId="132" xfId="0" applyNumberFormat="1" applyFont="1" applyFill="1" applyBorder="1" applyAlignment="1">
      <alignment horizontal="center" vertical="center"/>
    </xf>
    <xf numFmtId="0" fontId="130" fillId="0" borderId="0" xfId="43" applyFont="1" applyAlignment="1">
      <alignment horizontal="center" vertical="center"/>
    </xf>
    <xf numFmtId="0" fontId="130" fillId="0" borderId="163" xfId="43" applyFont="1" applyBorder="1" applyAlignment="1">
      <alignment horizontal="center" vertical="center"/>
    </xf>
    <xf numFmtId="3" fontId="117" fillId="37" borderId="49" xfId="0" applyNumberFormat="1" applyFont="1" applyFill="1" applyBorder="1" applyAlignment="1">
      <alignment horizontal="left" vertical="center" indent="1"/>
    </xf>
    <xf numFmtId="3" fontId="117" fillId="37" borderId="388" xfId="0" applyNumberFormat="1" applyFont="1" applyFill="1" applyBorder="1" applyAlignment="1">
      <alignment horizontal="left" vertical="center" indent="1"/>
    </xf>
    <xf numFmtId="0" fontId="112" fillId="0" borderId="0" xfId="0" applyFont="1" applyAlignment="1">
      <alignment horizontal="center" vertical="center"/>
    </xf>
    <xf numFmtId="0" fontId="117" fillId="37" borderId="436" xfId="0" applyFont="1" applyFill="1" applyBorder="1" applyAlignment="1">
      <alignment horizontal="right" vertical="center" indent="1"/>
    </xf>
    <xf numFmtId="0" fontId="117" fillId="37" borderId="46" xfId="0" applyFont="1" applyFill="1" applyBorder="1" applyAlignment="1">
      <alignment horizontal="right" vertical="center" indent="1"/>
    </xf>
    <xf numFmtId="3" fontId="117" fillId="6" borderId="46" xfId="0" applyNumberFormat="1" applyFont="1" applyFill="1" applyBorder="1" applyAlignment="1">
      <alignment horizontal="center" vertical="center"/>
    </xf>
    <xf numFmtId="3" fontId="117" fillId="6" borderId="299" xfId="0" applyNumberFormat="1" applyFont="1" applyFill="1" applyBorder="1" applyAlignment="1">
      <alignment horizontal="center" vertical="center"/>
    </xf>
    <xf numFmtId="166" fontId="113" fillId="0" borderId="1" xfId="0" applyNumberFormat="1" applyFont="1" applyBorder="1" applyAlignment="1">
      <alignment horizontal="center" vertical="center"/>
    </xf>
    <xf numFmtId="167" fontId="104" fillId="5" borderId="0" xfId="0" applyNumberFormat="1" applyFont="1" applyFill="1" applyAlignment="1">
      <alignment horizontal="center" vertical="center"/>
    </xf>
    <xf numFmtId="1" fontId="33" fillId="5" borderId="33" xfId="0" applyNumberFormat="1" applyFont="1" applyFill="1" applyBorder="1" applyAlignment="1">
      <alignment horizontal="center" vertical="center"/>
    </xf>
    <xf numFmtId="1" fontId="33" fillId="5" borderId="20" xfId="0" applyNumberFormat="1" applyFont="1" applyFill="1" applyBorder="1" applyAlignment="1">
      <alignment horizontal="center" vertical="center"/>
    </xf>
    <xf numFmtId="3" fontId="147" fillId="3" borderId="86" xfId="0" applyNumberFormat="1" applyFont="1" applyFill="1" applyBorder="1" applyAlignment="1">
      <alignment horizontal="center" vertical="center"/>
    </xf>
    <xf numFmtId="3" fontId="147" fillId="3" borderId="156" xfId="0" applyNumberFormat="1" applyFont="1" applyFill="1" applyBorder="1" applyAlignment="1">
      <alignment horizontal="center" vertical="center"/>
    </xf>
    <xf numFmtId="3" fontId="147" fillId="3" borderId="1" xfId="0" applyNumberFormat="1" applyFont="1" applyFill="1" applyBorder="1" applyAlignment="1">
      <alignment horizontal="center" vertical="center"/>
    </xf>
    <xf numFmtId="166" fontId="148" fillId="3" borderId="384" xfId="0" applyNumberFormat="1" applyFont="1" applyFill="1" applyBorder="1" applyAlignment="1">
      <alignment horizontal="center" vertical="center"/>
    </xf>
  </cellXfs>
  <cellStyles count="53">
    <cellStyle name="Comma [0] 2" xfId="7"/>
    <cellStyle name="Comma 2" xfId="3"/>
    <cellStyle name="Comma 2 2" xfId="8"/>
    <cellStyle name="Comma 2 3" xfId="35"/>
    <cellStyle name="Comma 2 4" xfId="37"/>
    <cellStyle name="Comma 2 4 2" xfId="46"/>
    <cellStyle name="Comma 2 5" xfId="39"/>
    <cellStyle name="Comma 3" xfId="4"/>
    <cellStyle name="Comma 3 2" xfId="32"/>
    <cellStyle name="Comma 3 3" xfId="40"/>
    <cellStyle name="Comma 4" xfId="9"/>
    <cellStyle name="Currency 2" xfId="10"/>
    <cellStyle name="Currency 2 2" xfId="11"/>
    <cellStyle name="Hyperlink 2" xfId="12"/>
    <cellStyle name="Normal" xfId="0" builtinId="0"/>
    <cellStyle name="Normal 10" xfId="51"/>
    <cellStyle name="Normal 11" xfId="52"/>
    <cellStyle name="Normal 2" xfId="1"/>
    <cellStyle name="Normal 2 2" xfId="5"/>
    <cellStyle name="Normal 2 2 2" xfId="13"/>
    <cellStyle name="Normal 2 2 3" xfId="43"/>
    <cellStyle name="Normal 2 3" xfId="14"/>
    <cellStyle name="Normal 3" xfId="2"/>
    <cellStyle name="Normal 3 2" xfId="15"/>
    <cellStyle name="Normal 3 3" xfId="16"/>
    <cellStyle name="Normal 3 4" xfId="17"/>
    <cellStyle name="Normal 3 4 2" xfId="50"/>
    <cellStyle name="Normal 3 5" xfId="18"/>
    <cellStyle name="Normal 3 6" xfId="34"/>
    <cellStyle name="Normal 3 7" xfId="36"/>
    <cellStyle name="Normal 3 7 2" xfId="45"/>
    <cellStyle name="Normal 3 8" xfId="44"/>
    <cellStyle name="Normal 4" xfId="6"/>
    <cellStyle name="Normal 4 2" xfId="19"/>
    <cellStyle name="Normal 4 2 2" xfId="49"/>
    <cellStyle name="Normal 4 3" xfId="20"/>
    <cellStyle name="Normal 4 4" xfId="29"/>
    <cellStyle name="Normal 4 5" xfId="31"/>
    <cellStyle name="Normal 5" xfId="21"/>
    <cellStyle name="Normal 5 2" xfId="22"/>
    <cellStyle name="Normal 5 3" xfId="41"/>
    <cellStyle name="Normal 6" xfId="23"/>
    <cellStyle name="Normal 6 2" xfId="24"/>
    <cellStyle name="Normal 6 3" xfId="42"/>
    <cellStyle name="Normal 7" xfId="25"/>
    <cellStyle name="Normal 7 2" xfId="33"/>
    <cellStyle name="Normal 8" xfId="30"/>
    <cellStyle name="Normal 8 2" xfId="48"/>
    <cellStyle name="Normal 9" xfId="47"/>
    <cellStyle name="Normal_Design-Weather-Calc" xfId="38"/>
    <cellStyle name="Percent 2" xfId="26"/>
    <cellStyle name="Percent 2 2" xfId="27"/>
    <cellStyle name="vct" xfId="28"/>
  </cellStyles>
  <dxfs count="0"/>
  <tableStyles count="0" defaultTableStyle="TableStyleMedium2" defaultPivotStyle="PivotStyleLight16"/>
  <colors>
    <mruColors>
      <color rgb="FFE8F5F8"/>
      <color rgb="FFFFFFCC"/>
      <color rgb="FFEBF6F9"/>
      <color rgb="FFFFFF99"/>
      <color rgb="FFF1EFF5"/>
      <color rgb="FFF0EEE4"/>
      <color rgb="FFF6E7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bar"/>
        <c:grouping val="clustered"/>
        <c:ser>
          <c:idx val="0"/>
          <c:order val="0"/>
          <c:val>
            <c:numRef>
              <c:f>('Input-Output'!$CE$6:$CE$8,'Input-Output'!$CE$10:$CE$19,'Input-Output'!$CE$20,'Input-Output'!$CE$21,'Input-Output'!$CE$23:$CE$35,'Input-Output'!$CE$37:$CE$42,'Input-Output'!$CE$44:$CE$60,'Input-Output'!$CE$62:$CE$67,'Input-Output'!$CE$69:$CE$71,'Input-Output'!$CE$73:$CE$74)</c:f>
              <c:numCache>
                <c:formatCode>#,##0</c:formatCode>
                <c:ptCount val="62"/>
                <c:pt idx="0">
                  <c:v>0</c:v>
                </c:pt>
                <c:pt idx="1">
                  <c:v>850.58918875795655</c:v>
                </c:pt>
                <c:pt idx="2">
                  <c:v>824.03553044178682</c:v>
                </c:pt>
                <c:pt idx="3">
                  <c:v>0</c:v>
                </c:pt>
                <c:pt idx="4">
                  <c:v>1061.6370243190252</c:v>
                </c:pt>
                <c:pt idx="5">
                  <c:v>1034.456329742929</c:v>
                </c:pt>
                <c:pt idx="6">
                  <c:v>1006.2158300277629</c:v>
                </c:pt>
                <c:pt idx="7">
                  <c:v>976.82361106606447</c:v>
                </c:pt>
                <c:pt idx="8">
                  <c:v>946.172346948155</c:v>
                </c:pt>
                <c:pt idx="9">
                  <c:v>914.13539803952176</c:v>
                </c:pt>
                <c:pt idx="10">
                  <c:v>880.56153388900862</c:v>
                </c:pt>
                <c:pt idx="11">
                  <c:v>845.26763663801034</c:v>
                </c:pt>
                <c:pt idx="12">
                  <c:v>808.02834979123816</c:v>
                </c:pt>
                <c:pt idx="13">
                  <c:v>788.59362802849785</c:v>
                </c:pt>
                <c:pt idx="14">
                  <c:v>768.56094416149028</c:v>
                </c:pt>
                <c:pt idx="15">
                  <c:v>669.15780168473498</c:v>
                </c:pt>
                <c:pt idx="16">
                  <c:v>650.02844664429995</c:v>
                </c:pt>
                <c:pt idx="17">
                  <c:v>630.21460110254907</c:v>
                </c:pt>
                <c:pt idx="18">
                  <c:v>588.25445165897997</c:v>
                </c:pt>
                <c:pt idx="19">
                  <c:v>565.93523872255628</c:v>
                </c:pt>
                <c:pt idx="20">
                  <c:v>518.04190591446979</c:v>
                </c:pt>
                <c:pt idx="21">
                  <c:v>464.67915322421112</c:v>
                </c:pt>
                <c:pt idx="22">
                  <c:v>369.16188489828176</c:v>
                </c:pt>
                <c:pt idx="23">
                  <c:v>235.48265257311832</c:v>
                </c:pt>
                <c:pt idx="24">
                  <c:v>-162.96789980422949</c:v>
                </c:pt>
                <c:pt idx="25">
                  <c:v>-286.16264047687542</c:v>
                </c:pt>
                <c:pt idx="26">
                  <c:v>-371.14013261400726</c:v>
                </c:pt>
                <c:pt idx="27">
                  <c:v>-440.59773010190713</c:v>
                </c:pt>
                <c:pt idx="28">
                  <c:v>0</c:v>
                </c:pt>
                <c:pt idx="29">
                  <c:v>-234.40075503721954</c:v>
                </c:pt>
                <c:pt idx="30">
                  <c:v>-239.51920373773248</c:v>
                </c:pt>
                <c:pt idx="31">
                  <c:v>-244.56504614682063</c:v>
                </c:pt>
                <c:pt idx="32">
                  <c:v>-249.54268665086221</c:v>
                </c:pt>
                <c:pt idx="33">
                  <c:v>-254.45612772649929</c:v>
                </c:pt>
                <c:pt idx="34">
                  <c:v>-242.84914656551118</c:v>
                </c:pt>
                <c:pt idx="35">
                  <c:v>-248.92185834745115</c:v>
                </c:pt>
                <c:pt idx="36">
                  <c:v>-260.85075373187931</c:v>
                </c:pt>
                <c:pt idx="37">
                  <c:v>-272.52244332017818</c:v>
                </c:pt>
                <c:pt idx="38">
                  <c:v>-281.12671728978842</c:v>
                </c:pt>
                <c:pt idx="39">
                  <c:v>-286.79813554259056</c:v>
                </c:pt>
                <c:pt idx="40">
                  <c:v>-292.42126322329341</c:v>
                </c:pt>
                <c:pt idx="41">
                  <c:v>-289.61555934519623</c:v>
                </c:pt>
                <c:pt idx="42">
                  <c:v>-297.99883390866228</c:v>
                </c:pt>
                <c:pt idx="43">
                  <c:v>-306.28520914092542</c:v>
                </c:pt>
                <c:pt idx="44">
                  <c:v>-314.48234445533137</c:v>
                </c:pt>
                <c:pt idx="45">
                  <c:v>-322.59704229085253</c:v>
                </c:pt>
                <c:pt idx="46">
                  <c:v>-330.63537209142504</c:v>
                </c:pt>
                <c:pt idx="47">
                  <c:v>-338.6027724365988</c:v>
                </c:pt>
                <c:pt idx="48">
                  <c:v>-343.87740371556862</c:v>
                </c:pt>
                <c:pt idx="49">
                  <c:v>-349.12402471848196</c:v>
                </c:pt>
                <c:pt idx="50">
                  <c:v>-354.34387956434352</c:v>
                </c:pt>
                <c:pt idx="51">
                  <c:v>-440.67177387951642</c:v>
                </c:pt>
                <c:pt idx="52">
                  <c:v>-444.22959914876924</c:v>
                </c:pt>
                <c:pt idx="53">
                  <c:v>-447.77811022928358</c:v>
                </c:pt>
                <c:pt idx="54">
                  <c:v>-451.31752680233581</c:v>
                </c:pt>
                <c:pt idx="55">
                  <c:v>-454.84806115697097</c:v>
                </c:pt>
                <c:pt idx="56">
                  <c:v>-458.36991851705392</c:v>
                </c:pt>
                <c:pt idx="57">
                  <c:v>-4907.6009616519004</c:v>
                </c:pt>
                <c:pt idx="58">
                  <c:v>-4962.3480344713817</c:v>
                </c:pt>
                <c:pt idx="59">
                  <c:v>-5016.8306421506668</c:v>
                </c:pt>
                <c:pt idx="60">
                  <c:v>-7490.6939016382075</c:v>
                </c:pt>
                <c:pt idx="61">
                  <c:v>-7602.1325911111708</c:v>
                </c:pt>
              </c:numCache>
            </c:numRef>
          </c:val>
        </c:ser>
        <c:axId val="105550976"/>
        <c:axId val="105552512"/>
      </c:barChart>
      <c:catAx>
        <c:axId val="105550976"/>
        <c:scaling>
          <c:orientation val="minMax"/>
        </c:scaling>
        <c:axPos val="l"/>
        <c:tickLblPos val="nextTo"/>
        <c:crossAx val="105552512"/>
        <c:crosses val="autoZero"/>
        <c:auto val="1"/>
        <c:lblAlgn val="ctr"/>
        <c:lblOffset val="100"/>
      </c:catAx>
      <c:valAx>
        <c:axId val="105552512"/>
        <c:scaling>
          <c:orientation val="minMax"/>
        </c:scaling>
        <c:axPos val="b"/>
        <c:majorGridlines/>
        <c:numFmt formatCode="#,##0" sourceLinked="1"/>
        <c:tickLblPos val="nextTo"/>
        <c:crossAx val="1055509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"/>
  <c:chart>
    <c:plotArea>
      <c:layout/>
      <c:barChart>
        <c:barDir val="bar"/>
        <c:grouping val="clustered"/>
        <c:ser>
          <c:idx val="0"/>
          <c:order val="0"/>
          <c:val>
            <c:numRef>
              <c:f>('Input-Output'!$DF$6:$DF$8,'Input-Output'!$DF$10:$DF$21,'Input-Output'!$DF$23:$DF$31,'Input-Output'!$DF$32:$DF$35,'Input-Output'!$DF$37:$DF$42,'Input-Output'!$DF$44:$DF$60,'Input-Output'!$DF$62:$DF$67,'Input-Output'!$DF$69:$DF$71,'Input-Output'!$DF$73:$DF$74)</c:f>
              <c:numCache>
                <c:formatCode>#,##0</c:formatCode>
                <c:ptCount val="62"/>
                <c:pt idx="0">
                  <c:v>0</c:v>
                </c:pt>
                <c:pt idx="1">
                  <c:v>-4035.9389319219072</c:v>
                </c:pt>
                <c:pt idx="2">
                  <c:v>-3990.6408304996207</c:v>
                </c:pt>
                <c:pt idx="3">
                  <c:v>0</c:v>
                </c:pt>
                <c:pt idx="4">
                  <c:v>-3856.3273101306586</c:v>
                </c:pt>
                <c:pt idx="5">
                  <c:v>-3796.2681088734412</c:v>
                </c:pt>
                <c:pt idx="6">
                  <c:v>-3735.3344553670795</c:v>
                </c:pt>
                <c:pt idx="7">
                  <c:v>-3673.4828350792482</c:v>
                </c:pt>
                <c:pt idx="8">
                  <c:v>-3610.6660732767082</c:v>
                </c:pt>
                <c:pt idx="9">
                  <c:v>-3546.8328904073205</c:v>
                </c:pt>
                <c:pt idx="10">
                  <c:v>-3481.9273856109053</c:v>
                </c:pt>
                <c:pt idx="11">
                  <c:v>-3415.8884336350961</c:v>
                </c:pt>
                <c:pt idx="12">
                  <c:v>-3348.6489767299149</c:v>
                </c:pt>
                <c:pt idx="13">
                  <c:v>-3314.5562784723388</c:v>
                </c:pt>
                <c:pt idx="14">
                  <c:v>-3280.1351882748618</c:v>
                </c:pt>
                <c:pt idx="15">
                  <c:v>-2903.7568090562372</c:v>
                </c:pt>
                <c:pt idx="16">
                  <c:v>-2872.342796603119</c:v>
                </c:pt>
                <c:pt idx="17">
                  <c:v>-2840.6053776574227</c:v>
                </c:pt>
                <c:pt idx="18">
                  <c:v>-2776.1158401980551</c:v>
                </c:pt>
                <c:pt idx="19">
                  <c:v>-2743.3398685532038</c:v>
                </c:pt>
                <c:pt idx="20">
                  <c:v>-2676.6604738795163</c:v>
                </c:pt>
                <c:pt idx="21">
                  <c:v>-2608.3814696401851</c:v>
                </c:pt>
                <c:pt idx="22">
                  <c:v>-2502.6764778221677</c:v>
                </c:pt>
                <c:pt idx="23">
                  <c:v>-2392.5616668333601</c:v>
                </c:pt>
                <c:pt idx="24">
                  <c:v>-2277.3974667092748</c:v>
                </c:pt>
                <c:pt idx="25">
                  <c:v>-2197.425536955488</c:v>
                </c:pt>
                <c:pt idx="26">
                  <c:v>-2114.5599303372214</c:v>
                </c:pt>
                <c:pt idx="27">
                  <c:v>-2028.4460423562882</c:v>
                </c:pt>
                <c:pt idx="28">
                  <c:v>0</c:v>
                </c:pt>
                <c:pt idx="29">
                  <c:v>-507.33455773478067</c:v>
                </c:pt>
                <c:pt idx="30">
                  <c:v>-492.07246706763846</c:v>
                </c:pt>
                <c:pt idx="31">
                  <c:v>-476.33997695716312</c:v>
                </c:pt>
                <c:pt idx="32">
                  <c:v>-460.08883475606592</c:v>
                </c:pt>
                <c:pt idx="33">
                  <c:v>-443.26199870467531</c:v>
                </c:pt>
                <c:pt idx="34">
                  <c:v>-355.01476795675603</c:v>
                </c:pt>
                <c:pt idx="35">
                  <c:v>-328.68863938949909</c:v>
                </c:pt>
                <c:pt idx="36">
                  <c:v>-268.60740904998841</c:v>
                </c:pt>
                <c:pt idx="37">
                  <c:v>-190.82274485219705</c:v>
                </c:pt>
                <c:pt idx="38">
                  <c:v>-98.534611860297289</c:v>
                </c:pt>
                <c:pt idx="39">
                  <c:v>89.705043319821229</c:v>
                </c:pt>
                <c:pt idx="40">
                  <c:v>160.51680355053631</c:v>
                </c:pt>
                <c:pt idx="41">
                  <c:v>130.04228694960855</c:v>
                </c:pt>
                <c:pt idx="42">
                  <c:v>208.43914839809082</c:v>
                </c:pt>
                <c:pt idx="43">
                  <c:v>264.38339014389334</c:v>
                </c:pt>
                <c:pt idx="44">
                  <c:v>310.26777425458073</c:v>
                </c:pt>
                <c:pt idx="45">
                  <c:v>350.07059717149804</c:v>
                </c:pt>
                <c:pt idx="46">
                  <c:v>385.67936284093651</c:v>
                </c:pt>
                <c:pt idx="47">
                  <c:v>418.16687535098697</c:v>
                </c:pt>
                <c:pt idx="48">
                  <c:v>438.43670438268435</c:v>
                </c:pt>
                <c:pt idx="49">
                  <c:v>457.76908721933472</c:v>
                </c:pt>
                <c:pt idx="50">
                  <c:v>476.27819189566105</c:v>
                </c:pt>
                <c:pt idx="51">
                  <c:v>599.07854234622505</c:v>
                </c:pt>
                <c:pt idx="52">
                  <c:v>611.14125159942239</c:v>
                </c:pt>
                <c:pt idx="53">
                  <c:v>622.95630537929594</c:v>
                </c:pt>
                <c:pt idx="54">
                  <c:v>634.53753783914601</c:v>
                </c:pt>
                <c:pt idx="55">
                  <c:v>645.89752667375592</c:v>
                </c:pt>
                <c:pt idx="56">
                  <c:v>657.04774752835192</c:v>
                </c:pt>
                <c:pt idx="57">
                  <c:v>8250.6365069820858</c:v>
                </c:pt>
                <c:pt idx="58">
                  <c:v>8393.1545974589626</c:v>
                </c:pt>
                <c:pt idx="59">
                  <c:v>8533.0897541548147</c:v>
                </c:pt>
                <c:pt idx="60">
                  <c:v>14943.082406439777</c:v>
                </c:pt>
                <c:pt idx="61">
                  <c:v>15179.096999919999</c:v>
                </c:pt>
              </c:numCache>
            </c:numRef>
          </c:val>
        </c:ser>
        <c:axId val="119838592"/>
        <c:axId val="119840128"/>
      </c:barChart>
      <c:catAx>
        <c:axId val="119838592"/>
        <c:scaling>
          <c:orientation val="minMax"/>
        </c:scaling>
        <c:axPos val="l"/>
        <c:tickLblPos val="nextTo"/>
        <c:crossAx val="119840128"/>
        <c:crosses val="autoZero"/>
        <c:auto val="1"/>
        <c:lblAlgn val="ctr"/>
        <c:lblOffset val="100"/>
      </c:catAx>
      <c:valAx>
        <c:axId val="119840128"/>
        <c:scaling>
          <c:orientation val="minMax"/>
        </c:scaling>
        <c:axPos val="b"/>
        <c:majorGridlines/>
        <c:numFmt formatCode="#,##0" sourceLinked="1"/>
        <c:tickLblPos val="nextTo"/>
        <c:crossAx val="11983859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w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9.wmf"/><Relationship Id="rId5" Type="http://schemas.openxmlformats.org/officeDocument/2006/relationships/image" Target="../media/image8.wmf"/><Relationship Id="rId4" Type="http://schemas.openxmlformats.org/officeDocument/2006/relationships/image" Target="../media/image7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</xdr:row>
      <xdr:rowOff>50800</xdr:rowOff>
    </xdr:from>
    <xdr:to>
      <xdr:col>29</xdr:col>
      <xdr:colOff>0</xdr:colOff>
      <xdr:row>9</xdr:row>
      <xdr:rowOff>127000</xdr:rowOff>
    </xdr:to>
    <xdr:sp macro="" textlink="">
      <xdr:nvSpPr>
        <xdr:cNvPr id="2" name="Oval 1"/>
        <xdr:cNvSpPr/>
      </xdr:nvSpPr>
      <xdr:spPr>
        <a:xfrm>
          <a:off x="4470400" y="279400"/>
          <a:ext cx="2413000" cy="1905000"/>
        </a:xfrm>
        <a:prstGeom prst="ellipse">
          <a:avLst/>
        </a:prstGeom>
        <a:solidFill>
          <a:srgbClr val="FFFFCC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14263</xdr:colOff>
      <xdr:row>2</xdr:row>
      <xdr:rowOff>128173</xdr:rowOff>
    </xdr:from>
    <xdr:to>
      <xdr:col>17</xdr:col>
      <xdr:colOff>14263</xdr:colOff>
      <xdr:row>3</xdr:row>
      <xdr:rowOff>57052</xdr:rowOff>
    </xdr:to>
    <xdr:cxnSp macro="">
      <xdr:nvCxnSpPr>
        <xdr:cNvPr id="10" name="Straight Arrow Connector 9"/>
        <xdr:cNvCxnSpPr/>
      </xdr:nvCxnSpPr>
      <xdr:spPr>
        <a:xfrm>
          <a:off x="14105401" y="597096"/>
          <a:ext cx="0" cy="163341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</xdr:row>
      <xdr:rowOff>11723</xdr:rowOff>
    </xdr:from>
    <xdr:to>
      <xdr:col>19</xdr:col>
      <xdr:colOff>172523</xdr:colOff>
      <xdr:row>1</xdr:row>
      <xdr:rowOff>11723</xdr:rowOff>
    </xdr:to>
    <xdr:cxnSp macro="">
      <xdr:nvCxnSpPr>
        <xdr:cNvPr id="12" name="Straight Arrow Connector 11"/>
        <xdr:cNvCxnSpPr/>
      </xdr:nvCxnSpPr>
      <xdr:spPr>
        <a:xfrm>
          <a:off x="14747631" y="246185"/>
          <a:ext cx="172523" cy="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30480</xdr:colOff>
      <xdr:row>2</xdr:row>
      <xdr:rowOff>17975</xdr:rowOff>
    </xdr:from>
    <xdr:to>
      <xdr:col>27</xdr:col>
      <xdr:colOff>203199</xdr:colOff>
      <xdr:row>8</xdr:row>
      <xdr:rowOff>134815</xdr:rowOff>
    </xdr:to>
    <xdr:sp macro="" textlink="">
      <xdr:nvSpPr>
        <xdr:cNvPr id="13" name="Oval 12"/>
        <xdr:cNvSpPr/>
      </xdr:nvSpPr>
      <xdr:spPr>
        <a:xfrm>
          <a:off x="5090160" y="475175"/>
          <a:ext cx="1986279" cy="1488440"/>
        </a:xfrm>
        <a:prstGeom prst="ellipse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0</xdr:colOff>
      <xdr:row>4</xdr:row>
      <xdr:rowOff>60960</xdr:rowOff>
    </xdr:from>
    <xdr:to>
      <xdr:col>25</xdr:col>
      <xdr:colOff>195</xdr:colOff>
      <xdr:row>6</xdr:row>
      <xdr:rowOff>64281</xdr:rowOff>
    </xdr:to>
    <xdr:sp macro="" textlink="">
      <xdr:nvSpPr>
        <xdr:cNvPr id="14" name="Rectangle 13"/>
        <xdr:cNvSpPr/>
      </xdr:nvSpPr>
      <xdr:spPr>
        <a:xfrm>
          <a:off x="5836920" y="975360"/>
          <a:ext cx="518355" cy="460521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11723</xdr:colOff>
      <xdr:row>13</xdr:row>
      <xdr:rowOff>0</xdr:rowOff>
    </xdr:from>
    <xdr:to>
      <xdr:col>18</xdr:col>
      <xdr:colOff>21771</xdr:colOff>
      <xdr:row>14</xdr:row>
      <xdr:rowOff>114562</xdr:rowOff>
    </xdr:to>
    <xdr:pic>
      <xdr:nvPicPr>
        <xdr:cNvPr id="15" name="Picture 14" descr="perimeter formul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51323" y="3048000"/>
          <a:ext cx="2696308" cy="34902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31</xdr:col>
      <xdr:colOff>0</xdr:colOff>
      <xdr:row>1</xdr:row>
      <xdr:rowOff>0</xdr:rowOff>
    </xdr:from>
    <xdr:to>
      <xdr:col>31</xdr:col>
      <xdr:colOff>0</xdr:colOff>
      <xdr:row>9</xdr:row>
      <xdr:rowOff>0</xdr:rowOff>
    </xdr:to>
    <xdr:cxnSp macro="">
      <xdr:nvCxnSpPr>
        <xdr:cNvPr id="17" name="Straight Arrow Connector 16"/>
        <xdr:cNvCxnSpPr/>
      </xdr:nvCxnSpPr>
      <xdr:spPr>
        <a:xfrm>
          <a:off x="16479520" y="1056640"/>
          <a:ext cx="0" cy="211328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10</xdr:row>
      <xdr:rowOff>0</xdr:rowOff>
    </xdr:from>
    <xdr:to>
      <xdr:col>30</xdr:col>
      <xdr:colOff>0</xdr:colOff>
      <xdr:row>10</xdr:row>
      <xdr:rowOff>0</xdr:rowOff>
    </xdr:to>
    <xdr:cxnSp macro="">
      <xdr:nvCxnSpPr>
        <xdr:cNvPr id="19" name="Straight Arrow Connector 18"/>
        <xdr:cNvCxnSpPr/>
      </xdr:nvCxnSpPr>
      <xdr:spPr>
        <a:xfrm>
          <a:off x="13573760" y="3434080"/>
          <a:ext cx="2641600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16</xdr:row>
      <xdr:rowOff>182880</xdr:rowOff>
    </xdr:from>
    <xdr:to>
      <xdr:col>18</xdr:col>
      <xdr:colOff>30480</xdr:colOff>
      <xdr:row>17</xdr:row>
      <xdr:rowOff>0</xdr:rowOff>
    </xdr:to>
    <xdr:sp macro="" textlink="">
      <xdr:nvSpPr>
        <xdr:cNvPr id="33" name="Rectangle 32"/>
        <xdr:cNvSpPr/>
      </xdr:nvSpPr>
      <xdr:spPr>
        <a:xfrm>
          <a:off x="10139680" y="5201920"/>
          <a:ext cx="4257040" cy="8128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0</xdr:colOff>
      <xdr:row>20</xdr:row>
      <xdr:rowOff>182880</xdr:rowOff>
    </xdr:from>
    <xdr:to>
      <xdr:col>18</xdr:col>
      <xdr:colOff>30480</xdr:colOff>
      <xdr:row>21</xdr:row>
      <xdr:rowOff>0</xdr:rowOff>
    </xdr:to>
    <xdr:sp macro="" textlink="">
      <xdr:nvSpPr>
        <xdr:cNvPr id="34" name="Rectangle 33"/>
        <xdr:cNvSpPr/>
      </xdr:nvSpPr>
      <xdr:spPr>
        <a:xfrm>
          <a:off x="10139680" y="5201920"/>
          <a:ext cx="4257040" cy="8128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132080</xdr:colOff>
      <xdr:row>18</xdr:row>
      <xdr:rowOff>121920</xdr:rowOff>
    </xdr:from>
    <xdr:to>
      <xdr:col>6</xdr:col>
      <xdr:colOff>132080</xdr:colOff>
      <xdr:row>20</xdr:row>
      <xdr:rowOff>121920</xdr:rowOff>
    </xdr:to>
    <xdr:sp macro="" textlink="">
      <xdr:nvSpPr>
        <xdr:cNvPr id="36" name="Rectangle 35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132080</xdr:colOff>
      <xdr:row>18</xdr:row>
      <xdr:rowOff>121920</xdr:rowOff>
    </xdr:from>
    <xdr:to>
      <xdr:col>8</xdr:col>
      <xdr:colOff>132080</xdr:colOff>
      <xdr:row>20</xdr:row>
      <xdr:rowOff>121920</xdr:rowOff>
    </xdr:to>
    <xdr:sp macro="" textlink="">
      <xdr:nvSpPr>
        <xdr:cNvPr id="37" name="Rectangle 36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132080</xdr:colOff>
      <xdr:row>18</xdr:row>
      <xdr:rowOff>121920</xdr:rowOff>
    </xdr:from>
    <xdr:to>
      <xdr:col>10</xdr:col>
      <xdr:colOff>132080</xdr:colOff>
      <xdr:row>20</xdr:row>
      <xdr:rowOff>121920</xdr:rowOff>
    </xdr:to>
    <xdr:sp macro="" textlink="">
      <xdr:nvSpPr>
        <xdr:cNvPr id="38" name="Rectangle 37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132080</xdr:colOff>
      <xdr:row>18</xdr:row>
      <xdr:rowOff>121920</xdr:rowOff>
    </xdr:from>
    <xdr:to>
      <xdr:col>12</xdr:col>
      <xdr:colOff>132080</xdr:colOff>
      <xdr:row>20</xdr:row>
      <xdr:rowOff>121920</xdr:rowOff>
    </xdr:to>
    <xdr:sp macro="" textlink="">
      <xdr:nvSpPr>
        <xdr:cNvPr id="39" name="Rectangle 38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132080</xdr:colOff>
      <xdr:row>18</xdr:row>
      <xdr:rowOff>121920</xdr:rowOff>
    </xdr:from>
    <xdr:to>
      <xdr:col>14</xdr:col>
      <xdr:colOff>132080</xdr:colOff>
      <xdr:row>20</xdr:row>
      <xdr:rowOff>121920</xdr:rowOff>
    </xdr:to>
    <xdr:sp macro="" textlink="">
      <xdr:nvSpPr>
        <xdr:cNvPr id="40" name="Rectangle 39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132080</xdr:colOff>
      <xdr:row>18</xdr:row>
      <xdr:rowOff>121920</xdr:rowOff>
    </xdr:from>
    <xdr:to>
      <xdr:col>17</xdr:col>
      <xdr:colOff>132080</xdr:colOff>
      <xdr:row>20</xdr:row>
      <xdr:rowOff>121920</xdr:rowOff>
    </xdr:to>
    <xdr:sp macro="" textlink="">
      <xdr:nvSpPr>
        <xdr:cNvPr id="41" name="Rectangle 40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132080</xdr:colOff>
      <xdr:row>18</xdr:row>
      <xdr:rowOff>121920</xdr:rowOff>
    </xdr:from>
    <xdr:to>
      <xdr:col>3</xdr:col>
      <xdr:colOff>132080</xdr:colOff>
      <xdr:row>20</xdr:row>
      <xdr:rowOff>121920</xdr:rowOff>
    </xdr:to>
    <xdr:sp macro="" textlink="">
      <xdr:nvSpPr>
        <xdr:cNvPr id="42" name="Rectangle 41"/>
        <xdr:cNvSpPr/>
      </xdr:nvSpPr>
      <xdr:spPr>
        <a:xfrm>
          <a:off x="15026640" y="5405120"/>
          <a:ext cx="264160" cy="5283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0</xdr:colOff>
      <xdr:row>68</xdr:row>
      <xdr:rowOff>0</xdr:rowOff>
    </xdr:from>
    <xdr:to>
      <xdr:col>34</xdr:col>
      <xdr:colOff>0</xdr:colOff>
      <xdr:row>70</xdr:row>
      <xdr:rowOff>0</xdr:rowOff>
    </xdr:to>
    <xdr:cxnSp macro="">
      <xdr:nvCxnSpPr>
        <xdr:cNvPr id="11" name="Straight Arrow Connector 10"/>
        <xdr:cNvCxnSpPr/>
      </xdr:nvCxnSpPr>
      <xdr:spPr>
        <a:xfrm>
          <a:off x="8686800" y="15544800"/>
          <a:ext cx="0" cy="45720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62</xdr:row>
      <xdr:rowOff>215900</xdr:rowOff>
    </xdr:from>
    <xdr:to>
      <xdr:col>34</xdr:col>
      <xdr:colOff>0</xdr:colOff>
      <xdr:row>68</xdr:row>
      <xdr:rowOff>0</xdr:rowOff>
    </xdr:to>
    <xdr:cxnSp macro="">
      <xdr:nvCxnSpPr>
        <xdr:cNvPr id="18" name="Straight Arrow Connector 17"/>
        <xdr:cNvCxnSpPr/>
      </xdr:nvCxnSpPr>
      <xdr:spPr>
        <a:xfrm>
          <a:off x="8686800" y="14389100"/>
          <a:ext cx="0" cy="115570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58</xdr:row>
      <xdr:rowOff>218440</xdr:rowOff>
    </xdr:from>
    <xdr:to>
      <xdr:col>36</xdr:col>
      <xdr:colOff>0</xdr:colOff>
      <xdr:row>63</xdr:row>
      <xdr:rowOff>0</xdr:rowOff>
    </xdr:to>
    <xdr:cxnSp macro="">
      <xdr:nvCxnSpPr>
        <xdr:cNvPr id="30" name="Straight Arrow Connector 29"/>
        <xdr:cNvCxnSpPr/>
      </xdr:nvCxnSpPr>
      <xdr:spPr>
        <a:xfrm>
          <a:off x="7366000" y="11877040"/>
          <a:ext cx="0" cy="92456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35</xdr:row>
      <xdr:rowOff>177800</xdr:rowOff>
    </xdr:from>
    <xdr:to>
      <xdr:col>37</xdr:col>
      <xdr:colOff>22860</xdr:colOff>
      <xdr:row>59</xdr:row>
      <xdr:rowOff>0</xdr:rowOff>
    </xdr:to>
    <xdr:cxnSp macro="">
      <xdr:nvCxnSpPr>
        <xdr:cNvPr id="35" name="Straight Arrow Connector 34"/>
        <xdr:cNvCxnSpPr/>
      </xdr:nvCxnSpPr>
      <xdr:spPr>
        <a:xfrm flipH="1">
          <a:off x="9271000" y="8178800"/>
          <a:ext cx="22860" cy="530860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21</xdr:row>
      <xdr:rowOff>0</xdr:rowOff>
    </xdr:from>
    <xdr:to>
      <xdr:col>39</xdr:col>
      <xdr:colOff>0</xdr:colOff>
      <xdr:row>36</xdr:row>
      <xdr:rowOff>0</xdr:rowOff>
    </xdr:to>
    <xdr:cxnSp macro="">
      <xdr:nvCxnSpPr>
        <xdr:cNvPr id="44" name="Straight Arrow Connector 43"/>
        <xdr:cNvCxnSpPr/>
      </xdr:nvCxnSpPr>
      <xdr:spPr>
        <a:xfrm>
          <a:off x="9982200" y="4800600"/>
          <a:ext cx="0" cy="342900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0</xdr:colOff>
      <xdr:row>8</xdr:row>
      <xdr:rowOff>30480</xdr:rowOff>
    </xdr:from>
    <xdr:to>
      <xdr:col>40</xdr:col>
      <xdr:colOff>10160</xdr:colOff>
      <xdr:row>21</xdr:row>
      <xdr:rowOff>0</xdr:rowOff>
    </xdr:to>
    <xdr:cxnSp macro="">
      <xdr:nvCxnSpPr>
        <xdr:cNvPr id="46" name="Straight Arrow Connector 45"/>
        <xdr:cNvCxnSpPr/>
      </xdr:nvCxnSpPr>
      <xdr:spPr>
        <a:xfrm flipH="1">
          <a:off x="18686585" y="1906172"/>
          <a:ext cx="10160" cy="301752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3</xdr:row>
      <xdr:rowOff>0</xdr:rowOff>
    </xdr:from>
    <xdr:to>
      <xdr:col>42</xdr:col>
      <xdr:colOff>0</xdr:colOff>
      <xdr:row>8</xdr:row>
      <xdr:rowOff>0</xdr:rowOff>
    </xdr:to>
    <xdr:cxnSp macro="">
      <xdr:nvCxnSpPr>
        <xdr:cNvPr id="48" name="Straight Arrow Connector 47"/>
        <xdr:cNvCxnSpPr/>
      </xdr:nvCxnSpPr>
      <xdr:spPr>
        <a:xfrm>
          <a:off x="17536160" y="701040"/>
          <a:ext cx="0" cy="116840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1</xdr:row>
      <xdr:rowOff>0</xdr:rowOff>
    </xdr:from>
    <xdr:to>
      <xdr:col>42</xdr:col>
      <xdr:colOff>0</xdr:colOff>
      <xdr:row>3</xdr:row>
      <xdr:rowOff>0</xdr:rowOff>
    </xdr:to>
    <xdr:cxnSp macro="">
      <xdr:nvCxnSpPr>
        <xdr:cNvPr id="50" name="Straight Arrow Connector 49"/>
        <xdr:cNvCxnSpPr/>
      </xdr:nvCxnSpPr>
      <xdr:spPr>
        <a:xfrm>
          <a:off x="17536160" y="233680"/>
          <a:ext cx="0" cy="46736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68</xdr:row>
      <xdr:rowOff>0</xdr:rowOff>
    </xdr:from>
    <xdr:to>
      <xdr:col>48</xdr:col>
      <xdr:colOff>0</xdr:colOff>
      <xdr:row>70</xdr:row>
      <xdr:rowOff>0</xdr:rowOff>
    </xdr:to>
    <xdr:cxnSp macro="">
      <xdr:nvCxnSpPr>
        <xdr:cNvPr id="52" name="Straight Connector 51"/>
        <xdr:cNvCxnSpPr/>
      </xdr:nvCxnSpPr>
      <xdr:spPr>
        <a:xfrm>
          <a:off x="8945880" y="15544800"/>
          <a:ext cx="3368040" cy="4572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68</xdr:row>
      <xdr:rowOff>0</xdr:rowOff>
    </xdr:from>
    <xdr:to>
      <xdr:col>48</xdr:col>
      <xdr:colOff>0</xdr:colOff>
      <xdr:row>70</xdr:row>
      <xdr:rowOff>0</xdr:rowOff>
    </xdr:to>
    <xdr:cxnSp macro="">
      <xdr:nvCxnSpPr>
        <xdr:cNvPr id="54" name="Straight Connector 53"/>
        <xdr:cNvCxnSpPr/>
      </xdr:nvCxnSpPr>
      <xdr:spPr>
        <a:xfrm flipV="1">
          <a:off x="8945880" y="15544800"/>
          <a:ext cx="3368040" cy="4572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38100</xdr:colOff>
      <xdr:row>63</xdr:row>
      <xdr:rowOff>25400</xdr:rowOff>
    </xdr:from>
    <xdr:to>
      <xdr:col>48</xdr:col>
      <xdr:colOff>0</xdr:colOff>
      <xdr:row>67</xdr:row>
      <xdr:rowOff>0</xdr:rowOff>
    </xdr:to>
    <xdr:cxnSp macro="">
      <xdr:nvCxnSpPr>
        <xdr:cNvPr id="56" name="Straight Connector 55"/>
        <xdr:cNvCxnSpPr/>
      </xdr:nvCxnSpPr>
      <xdr:spPr>
        <a:xfrm>
          <a:off x="8801100" y="14427200"/>
          <a:ext cx="3263900" cy="8890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38100</xdr:colOff>
      <xdr:row>63</xdr:row>
      <xdr:rowOff>0</xdr:rowOff>
    </xdr:from>
    <xdr:to>
      <xdr:col>48</xdr:col>
      <xdr:colOff>0</xdr:colOff>
      <xdr:row>67</xdr:row>
      <xdr:rowOff>165100</xdr:rowOff>
    </xdr:to>
    <xdr:cxnSp macro="">
      <xdr:nvCxnSpPr>
        <xdr:cNvPr id="58" name="Straight Connector 57"/>
        <xdr:cNvCxnSpPr/>
      </xdr:nvCxnSpPr>
      <xdr:spPr>
        <a:xfrm flipV="1">
          <a:off x="8801100" y="14401800"/>
          <a:ext cx="3263900" cy="10795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59</xdr:row>
      <xdr:rowOff>0</xdr:rowOff>
    </xdr:from>
    <xdr:to>
      <xdr:col>48</xdr:col>
      <xdr:colOff>0</xdr:colOff>
      <xdr:row>62</xdr:row>
      <xdr:rowOff>203200</xdr:rowOff>
    </xdr:to>
    <xdr:cxnSp macro="">
      <xdr:nvCxnSpPr>
        <xdr:cNvPr id="62" name="Straight Connector 61"/>
        <xdr:cNvCxnSpPr/>
      </xdr:nvCxnSpPr>
      <xdr:spPr>
        <a:xfrm flipV="1">
          <a:off x="9309100" y="13487400"/>
          <a:ext cx="2755900" cy="8890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59</xdr:row>
      <xdr:rowOff>25400</xdr:rowOff>
    </xdr:from>
    <xdr:to>
      <xdr:col>48</xdr:col>
      <xdr:colOff>0</xdr:colOff>
      <xdr:row>63</xdr:row>
      <xdr:rowOff>0</xdr:rowOff>
    </xdr:to>
    <xdr:cxnSp macro="">
      <xdr:nvCxnSpPr>
        <xdr:cNvPr id="64" name="Straight Connector 63"/>
        <xdr:cNvCxnSpPr/>
      </xdr:nvCxnSpPr>
      <xdr:spPr>
        <a:xfrm>
          <a:off x="9271000" y="13512800"/>
          <a:ext cx="2794000" cy="8890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70</xdr:row>
      <xdr:rowOff>0</xdr:rowOff>
    </xdr:from>
    <xdr:to>
      <xdr:col>48</xdr:col>
      <xdr:colOff>0</xdr:colOff>
      <xdr:row>74</xdr:row>
      <xdr:rowOff>0</xdr:rowOff>
    </xdr:to>
    <xdr:cxnSp macro="">
      <xdr:nvCxnSpPr>
        <xdr:cNvPr id="66" name="Straight Connector 65"/>
        <xdr:cNvCxnSpPr/>
      </xdr:nvCxnSpPr>
      <xdr:spPr>
        <a:xfrm>
          <a:off x="8686800" y="16002000"/>
          <a:ext cx="3627120" cy="9144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70</xdr:row>
      <xdr:rowOff>0</xdr:rowOff>
    </xdr:from>
    <xdr:to>
      <xdr:col>48</xdr:col>
      <xdr:colOff>0</xdr:colOff>
      <xdr:row>74</xdr:row>
      <xdr:rowOff>0</xdr:rowOff>
    </xdr:to>
    <xdr:cxnSp macro="">
      <xdr:nvCxnSpPr>
        <xdr:cNvPr id="68" name="Straight Connector 67"/>
        <xdr:cNvCxnSpPr/>
      </xdr:nvCxnSpPr>
      <xdr:spPr>
        <a:xfrm flipV="1">
          <a:off x="8686800" y="16002000"/>
          <a:ext cx="3627120" cy="9144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36</xdr:row>
      <xdr:rowOff>0</xdr:rowOff>
    </xdr:from>
    <xdr:to>
      <xdr:col>48</xdr:col>
      <xdr:colOff>0</xdr:colOff>
      <xdr:row>59</xdr:row>
      <xdr:rowOff>50800</xdr:rowOff>
    </xdr:to>
    <xdr:cxnSp macro="">
      <xdr:nvCxnSpPr>
        <xdr:cNvPr id="70" name="Straight Connector 69"/>
        <xdr:cNvCxnSpPr/>
      </xdr:nvCxnSpPr>
      <xdr:spPr>
        <a:xfrm flipV="1">
          <a:off x="9779000" y="8229600"/>
          <a:ext cx="2286000" cy="53086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241300</xdr:colOff>
      <xdr:row>36</xdr:row>
      <xdr:rowOff>12700</xdr:rowOff>
    </xdr:from>
    <xdr:to>
      <xdr:col>47</xdr:col>
      <xdr:colOff>241300</xdr:colOff>
      <xdr:row>59</xdr:row>
      <xdr:rowOff>38100</xdr:rowOff>
    </xdr:to>
    <xdr:cxnSp macro="">
      <xdr:nvCxnSpPr>
        <xdr:cNvPr id="72" name="Straight Connector 71"/>
        <xdr:cNvCxnSpPr/>
      </xdr:nvCxnSpPr>
      <xdr:spPr>
        <a:xfrm>
          <a:off x="9766300" y="8242300"/>
          <a:ext cx="2286000" cy="52832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21</xdr:row>
      <xdr:rowOff>2</xdr:rowOff>
    </xdr:from>
    <xdr:to>
      <xdr:col>48</xdr:col>
      <xdr:colOff>0</xdr:colOff>
      <xdr:row>36</xdr:row>
      <xdr:rowOff>0</xdr:rowOff>
    </xdr:to>
    <xdr:cxnSp macro="">
      <xdr:nvCxnSpPr>
        <xdr:cNvPr id="76" name="Straight Connector 75"/>
        <xdr:cNvCxnSpPr/>
      </xdr:nvCxnSpPr>
      <xdr:spPr>
        <a:xfrm flipV="1">
          <a:off x="9779000" y="4800602"/>
          <a:ext cx="2286000" cy="3428998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21</xdr:row>
      <xdr:rowOff>0</xdr:rowOff>
    </xdr:from>
    <xdr:to>
      <xdr:col>48</xdr:col>
      <xdr:colOff>0</xdr:colOff>
      <xdr:row>36</xdr:row>
      <xdr:rowOff>0</xdr:rowOff>
    </xdr:to>
    <xdr:cxnSp macro="">
      <xdr:nvCxnSpPr>
        <xdr:cNvPr id="78" name="Straight Connector 77"/>
        <xdr:cNvCxnSpPr/>
      </xdr:nvCxnSpPr>
      <xdr:spPr>
        <a:xfrm>
          <a:off x="8572500" y="4800600"/>
          <a:ext cx="1689100" cy="34290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8</xdr:row>
      <xdr:rowOff>2</xdr:rowOff>
    </xdr:from>
    <xdr:to>
      <xdr:col>48</xdr:col>
      <xdr:colOff>0</xdr:colOff>
      <xdr:row>21</xdr:row>
      <xdr:rowOff>0</xdr:rowOff>
    </xdr:to>
    <xdr:cxnSp macro="">
      <xdr:nvCxnSpPr>
        <xdr:cNvPr id="81" name="Straight Connector 80"/>
        <xdr:cNvCxnSpPr/>
      </xdr:nvCxnSpPr>
      <xdr:spPr>
        <a:xfrm flipV="1">
          <a:off x="8572500" y="1828802"/>
          <a:ext cx="1689100" cy="2971798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8</xdr:row>
      <xdr:rowOff>0</xdr:rowOff>
    </xdr:from>
    <xdr:to>
      <xdr:col>48</xdr:col>
      <xdr:colOff>0</xdr:colOff>
      <xdr:row>21</xdr:row>
      <xdr:rowOff>0</xdr:rowOff>
    </xdr:to>
    <xdr:cxnSp macro="">
      <xdr:nvCxnSpPr>
        <xdr:cNvPr id="83" name="Straight Connector 82"/>
        <xdr:cNvCxnSpPr/>
      </xdr:nvCxnSpPr>
      <xdr:spPr>
        <a:xfrm>
          <a:off x="9055100" y="1828800"/>
          <a:ext cx="1206500" cy="29718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3</xdr:row>
      <xdr:rowOff>0</xdr:rowOff>
    </xdr:from>
    <xdr:to>
      <xdr:col>48</xdr:col>
      <xdr:colOff>0</xdr:colOff>
      <xdr:row>8</xdr:row>
      <xdr:rowOff>0</xdr:rowOff>
    </xdr:to>
    <xdr:cxnSp macro="">
      <xdr:nvCxnSpPr>
        <xdr:cNvPr id="85" name="Straight Connector 84"/>
        <xdr:cNvCxnSpPr/>
      </xdr:nvCxnSpPr>
      <xdr:spPr>
        <a:xfrm flipV="1">
          <a:off x="17800320" y="701040"/>
          <a:ext cx="1320800" cy="11684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3</xdr:row>
      <xdr:rowOff>60960</xdr:rowOff>
    </xdr:from>
    <xdr:to>
      <xdr:col>48</xdr:col>
      <xdr:colOff>0</xdr:colOff>
      <xdr:row>8</xdr:row>
      <xdr:rowOff>60960</xdr:rowOff>
    </xdr:to>
    <xdr:cxnSp macro="">
      <xdr:nvCxnSpPr>
        <xdr:cNvPr id="87" name="Straight Connector 86"/>
        <xdr:cNvCxnSpPr/>
      </xdr:nvCxnSpPr>
      <xdr:spPr>
        <a:xfrm>
          <a:off x="17800320" y="762000"/>
          <a:ext cx="1320800" cy="116840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</xdr:row>
      <xdr:rowOff>0</xdr:rowOff>
    </xdr:from>
    <xdr:to>
      <xdr:col>48</xdr:col>
      <xdr:colOff>0</xdr:colOff>
      <xdr:row>3</xdr:row>
      <xdr:rowOff>0</xdr:rowOff>
    </xdr:to>
    <xdr:cxnSp macro="">
      <xdr:nvCxnSpPr>
        <xdr:cNvPr id="89" name="Straight Connector 88"/>
        <xdr:cNvCxnSpPr/>
      </xdr:nvCxnSpPr>
      <xdr:spPr>
        <a:xfrm flipV="1">
          <a:off x="17800320" y="233680"/>
          <a:ext cx="1320800" cy="46736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</xdr:row>
      <xdr:rowOff>0</xdr:rowOff>
    </xdr:from>
    <xdr:to>
      <xdr:col>48</xdr:col>
      <xdr:colOff>0</xdr:colOff>
      <xdr:row>3</xdr:row>
      <xdr:rowOff>0</xdr:rowOff>
    </xdr:to>
    <xdr:cxnSp macro="">
      <xdr:nvCxnSpPr>
        <xdr:cNvPr id="91" name="Straight Connector 90"/>
        <xdr:cNvCxnSpPr/>
      </xdr:nvCxnSpPr>
      <xdr:spPr>
        <a:xfrm>
          <a:off x="17800320" y="233680"/>
          <a:ext cx="1320800" cy="46736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18</xdr:row>
      <xdr:rowOff>0</xdr:rowOff>
    </xdr:from>
    <xdr:to>
      <xdr:col>22</xdr:col>
      <xdr:colOff>0</xdr:colOff>
      <xdr:row>21</xdr:row>
      <xdr:rowOff>0</xdr:rowOff>
    </xdr:to>
    <xdr:cxnSp macro="">
      <xdr:nvCxnSpPr>
        <xdr:cNvPr id="102" name="Straight Arrow Connector 101"/>
        <xdr:cNvCxnSpPr/>
      </xdr:nvCxnSpPr>
      <xdr:spPr>
        <a:xfrm>
          <a:off x="5194300" y="4114800"/>
          <a:ext cx="0" cy="685800"/>
        </a:xfrm>
        <a:prstGeom prst="straightConnector1">
          <a:avLst/>
        </a:prstGeom>
        <a:ln w="19050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238760</xdr:colOff>
      <xdr:row>17</xdr:row>
      <xdr:rowOff>0</xdr:rowOff>
    </xdr:from>
    <xdr:to>
      <xdr:col>20</xdr:col>
      <xdr:colOff>238760</xdr:colOff>
      <xdr:row>21</xdr:row>
      <xdr:rowOff>0</xdr:rowOff>
    </xdr:to>
    <xdr:cxnSp macro="">
      <xdr:nvCxnSpPr>
        <xdr:cNvPr id="103" name="Straight Arrow Connector 102"/>
        <xdr:cNvCxnSpPr/>
      </xdr:nvCxnSpPr>
      <xdr:spPr>
        <a:xfrm>
          <a:off x="4950460" y="3886200"/>
          <a:ext cx="0" cy="914400"/>
        </a:xfrm>
        <a:prstGeom prst="straightConnector1">
          <a:avLst/>
        </a:prstGeom>
        <a:ln w="19050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16</xdr:row>
      <xdr:rowOff>187961</xdr:rowOff>
    </xdr:from>
    <xdr:to>
      <xdr:col>23</xdr:col>
      <xdr:colOff>233680</xdr:colOff>
      <xdr:row>17</xdr:row>
      <xdr:rowOff>0</xdr:rowOff>
    </xdr:to>
    <xdr:sp macro="" textlink="">
      <xdr:nvSpPr>
        <xdr:cNvPr id="105" name="Rectangle 104"/>
        <xdr:cNvSpPr/>
      </xdr:nvSpPr>
      <xdr:spPr>
        <a:xfrm>
          <a:off x="14630400" y="6497321"/>
          <a:ext cx="1026160" cy="45719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0</xdr:colOff>
      <xdr:row>21</xdr:row>
      <xdr:rowOff>0</xdr:rowOff>
    </xdr:from>
    <xdr:to>
      <xdr:col>23</xdr:col>
      <xdr:colOff>233680</xdr:colOff>
      <xdr:row>21</xdr:row>
      <xdr:rowOff>45719</xdr:rowOff>
    </xdr:to>
    <xdr:sp macro="" textlink="">
      <xdr:nvSpPr>
        <xdr:cNvPr id="106" name="Rectangle 105"/>
        <xdr:cNvSpPr/>
      </xdr:nvSpPr>
      <xdr:spPr>
        <a:xfrm>
          <a:off x="14630400" y="7477760"/>
          <a:ext cx="1026160" cy="45719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2973</xdr:colOff>
      <xdr:row>1</xdr:row>
      <xdr:rowOff>5837</xdr:rowOff>
    </xdr:from>
    <xdr:to>
      <xdr:col>21</xdr:col>
      <xdr:colOff>167095</xdr:colOff>
      <xdr:row>3</xdr:row>
      <xdr:rowOff>76176</xdr:rowOff>
    </xdr:to>
    <xdr:sp macro="" textlink="">
      <xdr:nvSpPr>
        <xdr:cNvPr id="7" name="Arc 6"/>
        <xdr:cNvSpPr/>
      </xdr:nvSpPr>
      <xdr:spPr>
        <a:xfrm rot="15221007">
          <a:off x="14176172" y="158238"/>
          <a:ext cx="539262" cy="703384"/>
        </a:xfrm>
        <a:prstGeom prst="arc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15</xdr:col>
      <xdr:colOff>0</xdr:colOff>
      <xdr:row>22</xdr:row>
      <xdr:rowOff>0</xdr:rowOff>
    </xdr:to>
    <xdr:cxnSp macro="">
      <xdr:nvCxnSpPr>
        <xdr:cNvPr id="53" name="Straight Arrow Connector 52"/>
        <xdr:cNvCxnSpPr/>
      </xdr:nvCxnSpPr>
      <xdr:spPr>
        <a:xfrm>
          <a:off x="11054862" y="5158154"/>
          <a:ext cx="2708030" cy="0"/>
        </a:xfrm>
        <a:prstGeom prst="straightConnector1">
          <a:avLst/>
        </a:prstGeom>
        <a:ln w="19050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5</xdr:col>
      <xdr:colOff>0</xdr:colOff>
      <xdr:row>16</xdr:row>
      <xdr:rowOff>0</xdr:rowOff>
    </xdr:to>
    <xdr:cxnSp macro="">
      <xdr:nvCxnSpPr>
        <xdr:cNvPr id="5" name="Straight Arrow Connector 4"/>
        <xdr:cNvCxnSpPr/>
      </xdr:nvCxnSpPr>
      <xdr:spPr>
        <a:xfrm>
          <a:off x="850900" y="3657600"/>
          <a:ext cx="241300" cy="0"/>
        </a:xfrm>
        <a:prstGeom prst="straightConnector1">
          <a:avLst/>
        </a:prstGeom>
        <a:ln w="19050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</xdr:row>
      <xdr:rowOff>114300</xdr:rowOff>
    </xdr:from>
    <xdr:to>
      <xdr:col>10</xdr:col>
      <xdr:colOff>0</xdr:colOff>
      <xdr:row>17</xdr:row>
      <xdr:rowOff>0</xdr:rowOff>
    </xdr:to>
    <xdr:cxnSp macro="">
      <xdr:nvCxnSpPr>
        <xdr:cNvPr id="20" name="Straight Arrow Connector 19"/>
        <xdr:cNvCxnSpPr/>
      </xdr:nvCxnSpPr>
      <xdr:spPr>
        <a:xfrm flipH="1">
          <a:off x="2057400" y="3543300"/>
          <a:ext cx="241300" cy="342900"/>
        </a:xfrm>
        <a:prstGeom prst="straightConnector1">
          <a:avLst/>
        </a:prstGeom>
        <a:ln w="127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17</xdr:row>
      <xdr:rowOff>0</xdr:rowOff>
    </xdr:from>
    <xdr:to>
      <xdr:col>32</xdr:col>
      <xdr:colOff>0</xdr:colOff>
      <xdr:row>22</xdr:row>
      <xdr:rowOff>0</xdr:rowOff>
    </xdr:to>
    <xdr:cxnSp macro="">
      <xdr:nvCxnSpPr>
        <xdr:cNvPr id="22" name="Straight Connector 21"/>
        <xdr:cNvCxnSpPr/>
      </xdr:nvCxnSpPr>
      <xdr:spPr>
        <a:xfrm>
          <a:off x="6642100" y="3886200"/>
          <a:ext cx="9652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17</xdr:row>
      <xdr:rowOff>0</xdr:rowOff>
    </xdr:from>
    <xdr:to>
      <xdr:col>32</xdr:col>
      <xdr:colOff>0</xdr:colOff>
      <xdr:row>22</xdr:row>
      <xdr:rowOff>0</xdr:rowOff>
    </xdr:to>
    <xdr:cxnSp macro="">
      <xdr:nvCxnSpPr>
        <xdr:cNvPr id="24" name="Straight Connector 23"/>
        <xdr:cNvCxnSpPr/>
      </xdr:nvCxnSpPr>
      <xdr:spPr>
        <a:xfrm flipV="1">
          <a:off x="6642100" y="3886200"/>
          <a:ext cx="9652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17</xdr:row>
      <xdr:rowOff>0</xdr:rowOff>
    </xdr:from>
    <xdr:to>
      <xdr:col>13</xdr:col>
      <xdr:colOff>0</xdr:colOff>
      <xdr:row>21</xdr:row>
      <xdr:rowOff>0</xdr:rowOff>
    </xdr:to>
    <xdr:cxnSp macro="">
      <xdr:nvCxnSpPr>
        <xdr:cNvPr id="26" name="Straight Connector 25"/>
        <xdr:cNvCxnSpPr/>
      </xdr:nvCxnSpPr>
      <xdr:spPr>
        <a:xfrm>
          <a:off x="2540000" y="3886200"/>
          <a:ext cx="482600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17</xdr:row>
      <xdr:rowOff>0</xdr:rowOff>
    </xdr:from>
    <xdr:to>
      <xdr:col>13</xdr:col>
      <xdr:colOff>0</xdr:colOff>
      <xdr:row>21</xdr:row>
      <xdr:rowOff>0</xdr:rowOff>
    </xdr:to>
    <xdr:cxnSp macro="">
      <xdr:nvCxnSpPr>
        <xdr:cNvPr id="28" name="Straight Connector 27"/>
        <xdr:cNvCxnSpPr/>
      </xdr:nvCxnSpPr>
      <xdr:spPr>
        <a:xfrm flipV="1">
          <a:off x="2540000" y="3886200"/>
          <a:ext cx="482600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70</xdr:row>
      <xdr:rowOff>0</xdr:rowOff>
    </xdr:from>
    <xdr:to>
      <xdr:col>33</xdr:col>
      <xdr:colOff>0</xdr:colOff>
      <xdr:row>74</xdr:row>
      <xdr:rowOff>0</xdr:rowOff>
    </xdr:to>
    <xdr:cxnSp macro="">
      <xdr:nvCxnSpPr>
        <xdr:cNvPr id="31" name="Straight Arrow Connector 30"/>
        <xdr:cNvCxnSpPr/>
      </xdr:nvCxnSpPr>
      <xdr:spPr>
        <a:xfrm>
          <a:off x="8427720" y="16002000"/>
          <a:ext cx="0" cy="914400"/>
        </a:xfrm>
        <a:prstGeom prst="straightConnector1">
          <a:avLst/>
        </a:prstGeom>
        <a:ln w="28575">
          <a:solidFill>
            <a:srgbClr val="C0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114795</xdr:colOff>
      <xdr:row>3</xdr:row>
      <xdr:rowOff>151410</xdr:rowOff>
    </xdr:from>
    <xdr:to>
      <xdr:col>91</xdr:col>
      <xdr:colOff>114794</xdr:colOff>
      <xdr:row>3</xdr:row>
      <xdr:rowOff>151410</xdr:rowOff>
    </xdr:to>
    <xdr:cxnSp macro="">
      <xdr:nvCxnSpPr>
        <xdr:cNvPr id="8" name="Straight Arrow Connector 7"/>
        <xdr:cNvCxnSpPr/>
      </xdr:nvCxnSpPr>
      <xdr:spPr>
        <a:xfrm>
          <a:off x="34598759" y="857992"/>
          <a:ext cx="1413162" cy="0"/>
        </a:xfrm>
        <a:prstGeom prst="straightConnector1">
          <a:avLst/>
        </a:prstGeom>
        <a:ln w="76200">
          <a:solidFill>
            <a:schemeClr val="accent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424544</xdr:colOff>
      <xdr:row>3</xdr:row>
      <xdr:rowOff>145473</xdr:rowOff>
    </xdr:from>
    <xdr:to>
      <xdr:col>93</xdr:col>
      <xdr:colOff>424544</xdr:colOff>
      <xdr:row>3</xdr:row>
      <xdr:rowOff>145473</xdr:rowOff>
    </xdr:to>
    <xdr:cxnSp macro="">
      <xdr:nvCxnSpPr>
        <xdr:cNvPr id="16" name="Straight Arrow Connector 15"/>
        <xdr:cNvCxnSpPr/>
      </xdr:nvCxnSpPr>
      <xdr:spPr>
        <a:xfrm>
          <a:off x="36321671" y="852055"/>
          <a:ext cx="942109" cy="0"/>
        </a:xfrm>
        <a:prstGeom prst="straightConnector1">
          <a:avLst/>
        </a:prstGeom>
        <a:ln w="76200">
          <a:solidFill>
            <a:schemeClr val="accent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272142</xdr:colOff>
      <xdr:row>2</xdr:row>
      <xdr:rowOff>43543</xdr:rowOff>
    </xdr:from>
    <xdr:to>
      <xdr:col>91</xdr:col>
      <xdr:colOff>272142</xdr:colOff>
      <xdr:row>3</xdr:row>
      <xdr:rowOff>185057</xdr:rowOff>
    </xdr:to>
    <xdr:cxnSp macro="">
      <xdr:nvCxnSpPr>
        <xdr:cNvPr id="23" name="Straight Connector 22"/>
        <xdr:cNvCxnSpPr/>
      </xdr:nvCxnSpPr>
      <xdr:spPr>
        <a:xfrm>
          <a:off x="32863971" y="500743"/>
          <a:ext cx="0" cy="370114"/>
        </a:xfrm>
        <a:prstGeom prst="line">
          <a:avLst/>
        </a:prstGeom>
        <a:ln w="28575"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41563</xdr:colOff>
      <xdr:row>3</xdr:row>
      <xdr:rowOff>124691</xdr:rowOff>
    </xdr:from>
    <xdr:to>
      <xdr:col>118</xdr:col>
      <xdr:colOff>83127</xdr:colOff>
      <xdr:row>3</xdr:row>
      <xdr:rowOff>124692</xdr:rowOff>
    </xdr:to>
    <xdr:cxnSp macro="">
      <xdr:nvCxnSpPr>
        <xdr:cNvPr id="80" name="Straight Arrow Connector 79"/>
        <xdr:cNvCxnSpPr/>
      </xdr:nvCxnSpPr>
      <xdr:spPr>
        <a:xfrm>
          <a:off x="47147018" y="831273"/>
          <a:ext cx="1454727" cy="1"/>
        </a:xfrm>
        <a:prstGeom prst="straightConnector1">
          <a:avLst/>
        </a:prstGeom>
        <a:ln w="762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0</xdr:colOff>
      <xdr:row>3</xdr:row>
      <xdr:rowOff>138545</xdr:rowOff>
    </xdr:from>
    <xdr:to>
      <xdr:col>120</xdr:col>
      <xdr:colOff>374072</xdr:colOff>
      <xdr:row>3</xdr:row>
      <xdr:rowOff>138546</xdr:rowOff>
    </xdr:to>
    <xdr:cxnSp macro="">
      <xdr:nvCxnSpPr>
        <xdr:cNvPr id="82" name="Straight Arrow Connector 81"/>
        <xdr:cNvCxnSpPr/>
      </xdr:nvCxnSpPr>
      <xdr:spPr>
        <a:xfrm>
          <a:off x="48989673" y="845127"/>
          <a:ext cx="845126" cy="1"/>
        </a:xfrm>
        <a:prstGeom prst="straightConnector1">
          <a:avLst/>
        </a:prstGeom>
        <a:ln w="762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272142</xdr:colOff>
      <xdr:row>2</xdr:row>
      <xdr:rowOff>43543</xdr:rowOff>
    </xdr:from>
    <xdr:to>
      <xdr:col>118</xdr:col>
      <xdr:colOff>272142</xdr:colOff>
      <xdr:row>3</xdr:row>
      <xdr:rowOff>185057</xdr:rowOff>
    </xdr:to>
    <xdr:cxnSp macro="">
      <xdr:nvCxnSpPr>
        <xdr:cNvPr id="84" name="Straight Connector 83"/>
        <xdr:cNvCxnSpPr/>
      </xdr:nvCxnSpPr>
      <xdr:spPr>
        <a:xfrm>
          <a:off x="36169269" y="514598"/>
          <a:ext cx="0" cy="377041"/>
        </a:xfrm>
        <a:prstGeom prst="line">
          <a:avLst/>
        </a:prstGeom>
        <a:ln w="28575"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426720</xdr:colOff>
      <xdr:row>4</xdr:row>
      <xdr:rowOff>30480</xdr:rowOff>
    </xdr:from>
    <xdr:to>
      <xdr:col>93</xdr:col>
      <xdr:colOff>396240</xdr:colOff>
      <xdr:row>74</xdr:row>
      <xdr:rowOff>0</xdr:rowOff>
    </xdr:to>
    <xdr:graphicFrame macro="">
      <xdr:nvGraphicFramePr>
        <xdr:cNvPr id="67" name="Chart 6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114</xdr:col>
      <xdr:colOff>0</xdr:colOff>
      <xdr:row>4</xdr:row>
      <xdr:rowOff>30480</xdr:rowOff>
    </xdr:from>
    <xdr:to>
      <xdr:col>120</xdr:col>
      <xdr:colOff>411480</xdr:colOff>
      <xdr:row>73</xdr:row>
      <xdr:rowOff>198120</xdr:rowOff>
    </xdr:to>
    <xdr:graphicFrame macro="">
      <xdr:nvGraphicFramePr>
        <xdr:cNvPr id="69" name="Chart 6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123283</xdr:colOff>
      <xdr:row>11</xdr:row>
      <xdr:rowOff>207020</xdr:rowOff>
    </xdr:from>
    <xdr:to>
      <xdr:col>5</xdr:col>
      <xdr:colOff>123283</xdr:colOff>
      <xdr:row>12</xdr:row>
      <xdr:rowOff>262659</xdr:rowOff>
    </xdr:to>
    <xdr:cxnSp macro="">
      <xdr:nvCxnSpPr>
        <xdr:cNvPr id="2" name="Straight Arrow Connector 20"/>
        <xdr:cNvCxnSpPr>
          <a:cxnSpLocks noChangeShapeType="1"/>
        </xdr:cNvCxnSpPr>
      </xdr:nvCxnSpPr>
      <xdr:spPr bwMode="auto">
        <a:xfrm rot="5400000" flipH="1" flipV="1">
          <a:off x="1333713" y="3157110"/>
          <a:ext cx="322339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13</xdr:col>
      <xdr:colOff>5902</xdr:colOff>
      <xdr:row>12</xdr:row>
      <xdr:rowOff>153201</xdr:rowOff>
    </xdr:from>
    <xdr:to>
      <xdr:col>14</xdr:col>
      <xdr:colOff>90456</xdr:colOff>
      <xdr:row>12</xdr:row>
      <xdr:rowOff>153201</xdr:rowOff>
    </xdr:to>
    <xdr:cxnSp macro="">
      <xdr:nvCxnSpPr>
        <xdr:cNvPr id="3" name="Straight Arrow Connector 24"/>
        <xdr:cNvCxnSpPr>
          <a:cxnSpLocks noChangeShapeType="1"/>
        </xdr:cNvCxnSpPr>
      </xdr:nvCxnSpPr>
      <xdr:spPr bwMode="auto">
        <a:xfrm>
          <a:off x="3876862" y="3208821"/>
          <a:ext cx="396974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233116</xdr:colOff>
      <xdr:row>12</xdr:row>
      <xdr:rowOff>133607</xdr:rowOff>
    </xdr:from>
    <xdr:to>
      <xdr:col>5</xdr:col>
      <xdr:colOff>8502</xdr:colOff>
      <xdr:row>12</xdr:row>
      <xdr:rowOff>133607</xdr:rowOff>
    </xdr:to>
    <xdr:cxnSp macro="">
      <xdr:nvCxnSpPr>
        <xdr:cNvPr id="4" name="Straight Arrow Connector 28"/>
        <xdr:cNvCxnSpPr>
          <a:cxnSpLocks noChangeShapeType="1"/>
        </xdr:cNvCxnSpPr>
      </xdr:nvCxnSpPr>
      <xdr:spPr bwMode="auto">
        <a:xfrm rot="10800000">
          <a:off x="979876" y="3189227"/>
          <a:ext cx="400226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12</xdr:col>
      <xdr:colOff>159642</xdr:colOff>
      <xdr:row>11</xdr:row>
      <xdr:rowOff>187426</xdr:rowOff>
    </xdr:from>
    <xdr:to>
      <xdr:col>12</xdr:col>
      <xdr:colOff>159642</xdr:colOff>
      <xdr:row>12</xdr:row>
      <xdr:rowOff>243065</xdr:rowOff>
    </xdr:to>
    <xdr:cxnSp macro="">
      <xdr:nvCxnSpPr>
        <xdr:cNvPr id="5" name="Straight Arrow Connector 29"/>
        <xdr:cNvCxnSpPr>
          <a:cxnSpLocks noChangeShapeType="1"/>
        </xdr:cNvCxnSpPr>
      </xdr:nvCxnSpPr>
      <xdr:spPr bwMode="auto">
        <a:xfrm rot="5400000" flipH="1" flipV="1">
          <a:off x="3557012" y="3137516"/>
          <a:ext cx="322339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242499</xdr:colOff>
      <xdr:row>21</xdr:row>
      <xdr:rowOff>131776</xdr:rowOff>
    </xdr:from>
    <xdr:to>
      <xdr:col>5</xdr:col>
      <xdr:colOff>23341</xdr:colOff>
      <xdr:row>21</xdr:row>
      <xdr:rowOff>131776</xdr:rowOff>
    </xdr:to>
    <xdr:cxnSp macro="">
      <xdr:nvCxnSpPr>
        <xdr:cNvPr id="6" name="Straight Arrow Connector 40"/>
        <xdr:cNvCxnSpPr>
          <a:cxnSpLocks noChangeShapeType="1"/>
        </xdr:cNvCxnSpPr>
      </xdr:nvCxnSpPr>
      <xdr:spPr bwMode="auto">
        <a:xfrm rot="10800000">
          <a:off x="989259" y="5587696"/>
          <a:ext cx="405682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5</xdr:col>
      <xdr:colOff>162456</xdr:colOff>
      <xdr:row>21</xdr:row>
      <xdr:rowOff>47719</xdr:rowOff>
    </xdr:from>
    <xdr:to>
      <xdr:col>5</xdr:col>
      <xdr:colOff>162456</xdr:colOff>
      <xdr:row>22</xdr:row>
      <xdr:rowOff>128749</xdr:rowOff>
    </xdr:to>
    <xdr:cxnSp macro="">
      <xdr:nvCxnSpPr>
        <xdr:cNvPr id="7" name="Straight Arrow Connector 22"/>
        <xdr:cNvCxnSpPr>
          <a:cxnSpLocks noChangeShapeType="1"/>
        </xdr:cNvCxnSpPr>
      </xdr:nvCxnSpPr>
      <xdr:spPr bwMode="auto">
        <a:xfrm rot="5400000">
          <a:off x="1360191" y="5677504"/>
          <a:ext cx="347730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12</xdr:col>
      <xdr:colOff>177042</xdr:colOff>
      <xdr:row>21</xdr:row>
      <xdr:rowOff>27385</xdr:rowOff>
    </xdr:from>
    <xdr:to>
      <xdr:col>12</xdr:col>
      <xdr:colOff>177042</xdr:colOff>
      <xdr:row>22</xdr:row>
      <xdr:rowOff>93184</xdr:rowOff>
    </xdr:to>
    <xdr:cxnSp macro="">
      <xdr:nvCxnSpPr>
        <xdr:cNvPr id="8" name="Straight Arrow Connector 22"/>
        <xdr:cNvCxnSpPr>
          <a:cxnSpLocks noChangeShapeType="1"/>
        </xdr:cNvCxnSpPr>
      </xdr:nvCxnSpPr>
      <xdr:spPr bwMode="auto">
        <a:xfrm rot="5400000">
          <a:off x="3569332" y="5649555"/>
          <a:ext cx="332499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13</xdr:col>
      <xdr:colOff>69091</xdr:colOff>
      <xdr:row>21</xdr:row>
      <xdr:rowOff>83164</xdr:rowOff>
    </xdr:from>
    <xdr:to>
      <xdr:col>14</xdr:col>
      <xdr:colOff>110089</xdr:colOff>
      <xdr:row>21</xdr:row>
      <xdr:rowOff>83164</xdr:rowOff>
    </xdr:to>
    <xdr:cxnSp macro="">
      <xdr:nvCxnSpPr>
        <xdr:cNvPr id="9" name="Straight Arrow Connector 36"/>
        <xdr:cNvCxnSpPr>
          <a:cxnSpLocks noChangeShapeType="1"/>
        </xdr:cNvCxnSpPr>
      </xdr:nvCxnSpPr>
      <xdr:spPr bwMode="auto">
        <a:xfrm>
          <a:off x="3940051" y="5539084"/>
          <a:ext cx="353418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222230</xdr:colOff>
      <xdr:row>13</xdr:row>
      <xdr:rowOff>132881</xdr:rowOff>
    </xdr:from>
    <xdr:to>
      <xdr:col>4</xdr:col>
      <xdr:colOff>293708</xdr:colOff>
      <xdr:row>13</xdr:row>
      <xdr:rowOff>132881</xdr:rowOff>
    </xdr:to>
    <xdr:cxnSp macro="">
      <xdr:nvCxnSpPr>
        <xdr:cNvPr id="10" name="Straight Arrow Connector 28"/>
        <xdr:cNvCxnSpPr>
          <a:cxnSpLocks noChangeShapeType="1"/>
        </xdr:cNvCxnSpPr>
      </xdr:nvCxnSpPr>
      <xdr:spPr bwMode="auto">
        <a:xfrm rot="10800000">
          <a:off x="968990" y="3455201"/>
          <a:ext cx="383898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3</xdr:col>
      <xdr:colOff>222230</xdr:colOff>
      <xdr:row>20</xdr:row>
      <xdr:rowOff>142315</xdr:rowOff>
    </xdr:from>
    <xdr:to>
      <xdr:col>4</xdr:col>
      <xdr:colOff>278468</xdr:colOff>
      <xdr:row>20</xdr:row>
      <xdr:rowOff>142315</xdr:rowOff>
    </xdr:to>
    <xdr:cxnSp macro="">
      <xdr:nvCxnSpPr>
        <xdr:cNvPr id="11" name="Straight Arrow Connector 28"/>
        <xdr:cNvCxnSpPr>
          <a:cxnSpLocks noChangeShapeType="1"/>
        </xdr:cNvCxnSpPr>
      </xdr:nvCxnSpPr>
      <xdr:spPr bwMode="auto">
        <a:xfrm rot="10800000">
          <a:off x="968990" y="5331535"/>
          <a:ext cx="368658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13</xdr:col>
      <xdr:colOff>36382</xdr:colOff>
      <xdr:row>20</xdr:row>
      <xdr:rowOff>132881</xdr:rowOff>
    </xdr:from>
    <xdr:to>
      <xdr:col>14</xdr:col>
      <xdr:colOff>120936</xdr:colOff>
      <xdr:row>20</xdr:row>
      <xdr:rowOff>132881</xdr:rowOff>
    </xdr:to>
    <xdr:cxnSp macro="">
      <xdr:nvCxnSpPr>
        <xdr:cNvPr id="12" name="Straight Arrow Connector 24"/>
        <xdr:cNvCxnSpPr>
          <a:cxnSpLocks noChangeShapeType="1"/>
        </xdr:cNvCxnSpPr>
      </xdr:nvCxnSpPr>
      <xdr:spPr bwMode="auto">
        <a:xfrm>
          <a:off x="3907342" y="5322101"/>
          <a:ext cx="396974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12</xdr:col>
      <xdr:colOff>311428</xdr:colOff>
      <xdr:row>13</xdr:row>
      <xdr:rowOff>143041</xdr:rowOff>
    </xdr:from>
    <xdr:to>
      <xdr:col>14</xdr:col>
      <xdr:colOff>81022</xdr:colOff>
      <xdr:row>13</xdr:row>
      <xdr:rowOff>143041</xdr:rowOff>
    </xdr:to>
    <xdr:cxnSp macro="">
      <xdr:nvCxnSpPr>
        <xdr:cNvPr id="13" name="Straight Arrow Connector 24"/>
        <xdr:cNvCxnSpPr>
          <a:cxnSpLocks noChangeShapeType="1"/>
        </xdr:cNvCxnSpPr>
      </xdr:nvCxnSpPr>
      <xdr:spPr bwMode="auto">
        <a:xfrm>
          <a:off x="3869968" y="3465361"/>
          <a:ext cx="394434" cy="0"/>
        </a:xfrm>
        <a:prstGeom prst="straightConnector1">
          <a:avLst/>
        </a:prstGeom>
        <a:noFill/>
        <a:ln w="19050" algn="ctr">
          <a:solidFill>
            <a:srgbClr val="000099"/>
          </a:solidFill>
          <a:round/>
          <a:headEnd/>
          <a:tailEnd type="triangle" w="med" len="med"/>
        </a:ln>
      </xdr:spPr>
    </xdr:cxnSp>
    <xdr:clientData/>
  </xdr:twoCellAnchor>
  <xdr:twoCellAnchor>
    <xdr:from>
      <xdr:col>7</xdr:col>
      <xdr:colOff>265453</xdr:colOff>
      <xdr:row>14</xdr:row>
      <xdr:rowOff>11138</xdr:rowOff>
    </xdr:from>
    <xdr:to>
      <xdr:col>8</xdr:col>
      <xdr:colOff>272741</xdr:colOff>
      <xdr:row>15</xdr:row>
      <xdr:rowOff>10328</xdr:rowOff>
    </xdr:to>
    <xdr:cxnSp macro="">
      <xdr:nvCxnSpPr>
        <xdr:cNvPr id="14" name="Straight Connector 13"/>
        <xdr:cNvCxnSpPr/>
      </xdr:nvCxnSpPr>
      <xdr:spPr>
        <a:xfrm>
          <a:off x="2261893" y="360015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14</xdr:row>
      <xdr:rowOff>11138</xdr:rowOff>
    </xdr:from>
    <xdr:to>
      <xdr:col>8</xdr:col>
      <xdr:colOff>272741</xdr:colOff>
      <xdr:row>15</xdr:row>
      <xdr:rowOff>10328</xdr:rowOff>
    </xdr:to>
    <xdr:cxnSp macro="">
      <xdr:nvCxnSpPr>
        <xdr:cNvPr id="15" name="Straight Connector 14"/>
        <xdr:cNvCxnSpPr/>
      </xdr:nvCxnSpPr>
      <xdr:spPr>
        <a:xfrm flipV="1">
          <a:off x="2261893" y="360015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15</xdr:row>
      <xdr:rowOff>10328</xdr:rowOff>
    </xdr:from>
    <xdr:to>
      <xdr:col>8</xdr:col>
      <xdr:colOff>272741</xdr:colOff>
      <xdr:row>16</xdr:row>
      <xdr:rowOff>9518</xdr:rowOff>
    </xdr:to>
    <xdr:cxnSp macro="">
      <xdr:nvCxnSpPr>
        <xdr:cNvPr id="16" name="Straight Connector 15"/>
        <xdr:cNvCxnSpPr/>
      </xdr:nvCxnSpPr>
      <xdr:spPr>
        <a:xfrm>
          <a:off x="2261893" y="386604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15</xdr:row>
      <xdr:rowOff>10328</xdr:rowOff>
    </xdr:from>
    <xdr:to>
      <xdr:col>8</xdr:col>
      <xdr:colOff>272741</xdr:colOff>
      <xdr:row>16</xdr:row>
      <xdr:rowOff>9518</xdr:rowOff>
    </xdr:to>
    <xdr:cxnSp macro="">
      <xdr:nvCxnSpPr>
        <xdr:cNvPr id="17" name="Straight Connector 16"/>
        <xdr:cNvCxnSpPr/>
      </xdr:nvCxnSpPr>
      <xdr:spPr>
        <a:xfrm flipV="1">
          <a:off x="2261893" y="3866048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16</xdr:row>
      <xdr:rowOff>9518</xdr:rowOff>
    </xdr:from>
    <xdr:to>
      <xdr:col>8</xdr:col>
      <xdr:colOff>272741</xdr:colOff>
      <xdr:row>17</xdr:row>
      <xdr:rowOff>8709</xdr:rowOff>
    </xdr:to>
    <xdr:cxnSp macro="">
      <xdr:nvCxnSpPr>
        <xdr:cNvPr id="18" name="Straight Connector 17"/>
        <xdr:cNvCxnSpPr/>
      </xdr:nvCxnSpPr>
      <xdr:spPr>
        <a:xfrm>
          <a:off x="2261893" y="4131938"/>
          <a:ext cx="319708" cy="26589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16</xdr:row>
      <xdr:rowOff>9518</xdr:rowOff>
    </xdr:from>
    <xdr:to>
      <xdr:col>8</xdr:col>
      <xdr:colOff>272741</xdr:colOff>
      <xdr:row>17</xdr:row>
      <xdr:rowOff>8709</xdr:rowOff>
    </xdr:to>
    <xdr:cxnSp macro="">
      <xdr:nvCxnSpPr>
        <xdr:cNvPr id="19" name="Straight Connector 18"/>
        <xdr:cNvCxnSpPr/>
      </xdr:nvCxnSpPr>
      <xdr:spPr>
        <a:xfrm flipV="1">
          <a:off x="2261893" y="4131938"/>
          <a:ext cx="319708" cy="26589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19</xdr:row>
      <xdr:rowOff>7089</xdr:rowOff>
    </xdr:from>
    <xdr:to>
      <xdr:col>8</xdr:col>
      <xdr:colOff>272741</xdr:colOff>
      <xdr:row>20</xdr:row>
      <xdr:rowOff>6279</xdr:rowOff>
    </xdr:to>
    <xdr:cxnSp macro="">
      <xdr:nvCxnSpPr>
        <xdr:cNvPr id="20" name="Straight Connector 19"/>
        <xdr:cNvCxnSpPr/>
      </xdr:nvCxnSpPr>
      <xdr:spPr>
        <a:xfrm>
          <a:off x="2261893" y="4929609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265453</xdr:colOff>
      <xdr:row>19</xdr:row>
      <xdr:rowOff>7089</xdr:rowOff>
    </xdr:from>
    <xdr:to>
      <xdr:col>8</xdr:col>
      <xdr:colOff>272741</xdr:colOff>
      <xdr:row>20</xdr:row>
      <xdr:rowOff>6279</xdr:rowOff>
    </xdr:to>
    <xdr:cxnSp macro="">
      <xdr:nvCxnSpPr>
        <xdr:cNvPr id="21" name="Straight Connector 20"/>
        <xdr:cNvCxnSpPr/>
      </xdr:nvCxnSpPr>
      <xdr:spPr>
        <a:xfrm flipV="1">
          <a:off x="2261893" y="4929609"/>
          <a:ext cx="319708" cy="26589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11</xdr:row>
      <xdr:rowOff>0</xdr:rowOff>
    </xdr:from>
    <xdr:to>
      <xdr:col>33</xdr:col>
      <xdr:colOff>0</xdr:colOff>
      <xdr:row>12</xdr:row>
      <xdr:rowOff>0</xdr:rowOff>
    </xdr:to>
    <xdr:cxnSp macro="">
      <xdr:nvCxnSpPr>
        <xdr:cNvPr id="22" name="Straight Connector 21"/>
        <xdr:cNvCxnSpPr/>
      </xdr:nvCxnSpPr>
      <xdr:spPr>
        <a:xfrm>
          <a:off x="9806940" y="2788920"/>
          <a:ext cx="312420" cy="2667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11</xdr:row>
      <xdr:rowOff>0</xdr:rowOff>
    </xdr:from>
    <xdr:to>
      <xdr:col>33</xdr:col>
      <xdr:colOff>0</xdr:colOff>
      <xdr:row>12</xdr:row>
      <xdr:rowOff>0</xdr:rowOff>
    </xdr:to>
    <xdr:cxnSp macro="">
      <xdr:nvCxnSpPr>
        <xdr:cNvPr id="23" name="Straight Connector 22"/>
        <xdr:cNvCxnSpPr/>
      </xdr:nvCxnSpPr>
      <xdr:spPr>
        <a:xfrm flipV="1">
          <a:off x="9806940" y="2788920"/>
          <a:ext cx="312420" cy="2667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23</xdr:row>
      <xdr:rowOff>0</xdr:rowOff>
    </xdr:to>
    <xdr:cxnSp macro="">
      <xdr:nvCxnSpPr>
        <xdr:cNvPr id="24" name="Straight Arrow Connector 23"/>
        <xdr:cNvCxnSpPr/>
      </xdr:nvCxnSpPr>
      <xdr:spPr>
        <a:xfrm>
          <a:off x="127635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21</xdr:row>
      <xdr:rowOff>0</xdr:rowOff>
    </xdr:to>
    <xdr:cxnSp macro="">
      <xdr:nvCxnSpPr>
        <xdr:cNvPr id="25" name="Straight Arrow Connector 24"/>
        <xdr:cNvCxnSpPr/>
      </xdr:nvCxnSpPr>
      <xdr:spPr>
        <a:xfrm>
          <a:off x="127635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19</xdr:row>
      <xdr:rowOff>0</xdr:rowOff>
    </xdr:from>
    <xdr:to>
      <xdr:col>44</xdr:col>
      <xdr:colOff>0</xdr:colOff>
      <xdr:row>19</xdr:row>
      <xdr:rowOff>0</xdr:rowOff>
    </xdr:to>
    <xdr:cxnSp macro="">
      <xdr:nvCxnSpPr>
        <xdr:cNvPr id="26" name="Straight Arrow Connector 25"/>
        <xdr:cNvCxnSpPr/>
      </xdr:nvCxnSpPr>
      <xdr:spPr>
        <a:xfrm>
          <a:off x="127635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12</xdr:row>
      <xdr:rowOff>0</xdr:rowOff>
    </xdr:from>
    <xdr:to>
      <xdr:col>44</xdr:col>
      <xdr:colOff>0</xdr:colOff>
      <xdr:row>12</xdr:row>
      <xdr:rowOff>0</xdr:rowOff>
    </xdr:to>
    <xdr:cxnSp macro="">
      <xdr:nvCxnSpPr>
        <xdr:cNvPr id="27" name="Straight Arrow Connector 26"/>
        <xdr:cNvCxnSpPr/>
      </xdr:nvCxnSpPr>
      <xdr:spPr>
        <a:xfrm>
          <a:off x="127635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10</xdr:row>
      <xdr:rowOff>0</xdr:rowOff>
    </xdr:from>
    <xdr:to>
      <xdr:col>44</xdr:col>
      <xdr:colOff>0</xdr:colOff>
      <xdr:row>10</xdr:row>
      <xdr:rowOff>0</xdr:rowOff>
    </xdr:to>
    <xdr:cxnSp macro="">
      <xdr:nvCxnSpPr>
        <xdr:cNvPr id="28" name="Straight Arrow Connector 27"/>
        <xdr:cNvCxnSpPr/>
      </xdr:nvCxnSpPr>
      <xdr:spPr>
        <a:xfrm>
          <a:off x="127635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23</xdr:row>
      <xdr:rowOff>0</xdr:rowOff>
    </xdr:to>
    <xdr:cxnSp macro="">
      <xdr:nvCxnSpPr>
        <xdr:cNvPr id="29" name="Straight Arrow Connector 28"/>
        <xdr:cNvCxnSpPr/>
      </xdr:nvCxnSpPr>
      <xdr:spPr>
        <a:xfrm>
          <a:off x="13190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21</xdr:row>
      <xdr:rowOff>0</xdr:rowOff>
    </xdr:to>
    <xdr:cxnSp macro="">
      <xdr:nvCxnSpPr>
        <xdr:cNvPr id="30" name="Straight Arrow Connector 29"/>
        <xdr:cNvCxnSpPr/>
      </xdr:nvCxnSpPr>
      <xdr:spPr>
        <a:xfrm>
          <a:off x="13190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19</xdr:row>
      <xdr:rowOff>0</xdr:rowOff>
    </xdr:from>
    <xdr:to>
      <xdr:col>46</xdr:col>
      <xdr:colOff>0</xdr:colOff>
      <xdr:row>19</xdr:row>
      <xdr:rowOff>0</xdr:rowOff>
    </xdr:to>
    <xdr:cxnSp macro="">
      <xdr:nvCxnSpPr>
        <xdr:cNvPr id="31" name="Straight Arrow Connector 30"/>
        <xdr:cNvCxnSpPr/>
      </xdr:nvCxnSpPr>
      <xdr:spPr>
        <a:xfrm>
          <a:off x="13190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12</xdr:row>
      <xdr:rowOff>0</xdr:rowOff>
    </xdr:from>
    <xdr:to>
      <xdr:col>46</xdr:col>
      <xdr:colOff>0</xdr:colOff>
      <xdr:row>12</xdr:row>
      <xdr:rowOff>0</xdr:rowOff>
    </xdr:to>
    <xdr:cxnSp macro="">
      <xdr:nvCxnSpPr>
        <xdr:cNvPr id="32" name="Straight Arrow Connector 31"/>
        <xdr:cNvCxnSpPr/>
      </xdr:nvCxnSpPr>
      <xdr:spPr>
        <a:xfrm>
          <a:off x="13190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10</xdr:row>
      <xdr:rowOff>0</xdr:rowOff>
    </xdr:from>
    <xdr:to>
      <xdr:col>46</xdr:col>
      <xdr:colOff>0</xdr:colOff>
      <xdr:row>10</xdr:row>
      <xdr:rowOff>0</xdr:rowOff>
    </xdr:to>
    <xdr:cxnSp macro="">
      <xdr:nvCxnSpPr>
        <xdr:cNvPr id="33" name="Straight Arrow Connector 32"/>
        <xdr:cNvCxnSpPr/>
      </xdr:nvCxnSpPr>
      <xdr:spPr>
        <a:xfrm>
          <a:off x="13190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23</xdr:row>
      <xdr:rowOff>0</xdr:rowOff>
    </xdr:from>
    <xdr:to>
      <xdr:col>50</xdr:col>
      <xdr:colOff>0</xdr:colOff>
      <xdr:row>23</xdr:row>
      <xdr:rowOff>0</xdr:rowOff>
    </xdr:to>
    <xdr:cxnSp macro="">
      <xdr:nvCxnSpPr>
        <xdr:cNvPr id="34" name="Straight Arrow Connector 33"/>
        <xdr:cNvCxnSpPr/>
      </xdr:nvCxnSpPr>
      <xdr:spPr>
        <a:xfrm>
          <a:off x="140436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21</xdr:row>
      <xdr:rowOff>0</xdr:rowOff>
    </xdr:from>
    <xdr:to>
      <xdr:col>50</xdr:col>
      <xdr:colOff>0</xdr:colOff>
      <xdr:row>21</xdr:row>
      <xdr:rowOff>0</xdr:rowOff>
    </xdr:to>
    <xdr:cxnSp macro="">
      <xdr:nvCxnSpPr>
        <xdr:cNvPr id="35" name="Straight Arrow Connector 34"/>
        <xdr:cNvCxnSpPr/>
      </xdr:nvCxnSpPr>
      <xdr:spPr>
        <a:xfrm>
          <a:off x="140436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19</xdr:row>
      <xdr:rowOff>0</xdr:rowOff>
    </xdr:from>
    <xdr:to>
      <xdr:col>50</xdr:col>
      <xdr:colOff>0</xdr:colOff>
      <xdr:row>19</xdr:row>
      <xdr:rowOff>0</xdr:rowOff>
    </xdr:to>
    <xdr:cxnSp macro="">
      <xdr:nvCxnSpPr>
        <xdr:cNvPr id="36" name="Straight Arrow Connector 35"/>
        <xdr:cNvCxnSpPr/>
      </xdr:nvCxnSpPr>
      <xdr:spPr>
        <a:xfrm>
          <a:off x="140436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12</xdr:row>
      <xdr:rowOff>0</xdr:rowOff>
    </xdr:from>
    <xdr:to>
      <xdr:col>50</xdr:col>
      <xdr:colOff>0</xdr:colOff>
      <xdr:row>12</xdr:row>
      <xdr:rowOff>0</xdr:rowOff>
    </xdr:to>
    <xdr:cxnSp macro="">
      <xdr:nvCxnSpPr>
        <xdr:cNvPr id="37" name="Straight Arrow Connector 36"/>
        <xdr:cNvCxnSpPr/>
      </xdr:nvCxnSpPr>
      <xdr:spPr>
        <a:xfrm>
          <a:off x="140436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10</xdr:row>
      <xdr:rowOff>0</xdr:rowOff>
    </xdr:from>
    <xdr:to>
      <xdr:col>50</xdr:col>
      <xdr:colOff>0</xdr:colOff>
      <xdr:row>10</xdr:row>
      <xdr:rowOff>0</xdr:rowOff>
    </xdr:to>
    <xdr:cxnSp macro="">
      <xdr:nvCxnSpPr>
        <xdr:cNvPr id="38" name="Straight Arrow Connector 37"/>
        <xdr:cNvCxnSpPr/>
      </xdr:nvCxnSpPr>
      <xdr:spPr>
        <a:xfrm>
          <a:off x="140436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23</xdr:row>
      <xdr:rowOff>0</xdr:rowOff>
    </xdr:from>
    <xdr:to>
      <xdr:col>52</xdr:col>
      <xdr:colOff>0</xdr:colOff>
      <xdr:row>23</xdr:row>
      <xdr:rowOff>0</xdr:rowOff>
    </xdr:to>
    <xdr:cxnSp macro="">
      <xdr:nvCxnSpPr>
        <xdr:cNvPr id="39" name="Straight Arrow Connector 38"/>
        <xdr:cNvCxnSpPr/>
      </xdr:nvCxnSpPr>
      <xdr:spPr>
        <a:xfrm>
          <a:off x="144703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21</xdr:row>
      <xdr:rowOff>0</xdr:rowOff>
    </xdr:from>
    <xdr:to>
      <xdr:col>52</xdr:col>
      <xdr:colOff>0</xdr:colOff>
      <xdr:row>21</xdr:row>
      <xdr:rowOff>0</xdr:rowOff>
    </xdr:to>
    <xdr:cxnSp macro="">
      <xdr:nvCxnSpPr>
        <xdr:cNvPr id="40" name="Straight Arrow Connector 39"/>
        <xdr:cNvCxnSpPr/>
      </xdr:nvCxnSpPr>
      <xdr:spPr>
        <a:xfrm>
          <a:off x="144703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19</xdr:row>
      <xdr:rowOff>0</xdr:rowOff>
    </xdr:from>
    <xdr:to>
      <xdr:col>52</xdr:col>
      <xdr:colOff>0</xdr:colOff>
      <xdr:row>19</xdr:row>
      <xdr:rowOff>0</xdr:rowOff>
    </xdr:to>
    <xdr:cxnSp macro="">
      <xdr:nvCxnSpPr>
        <xdr:cNvPr id="41" name="Straight Arrow Connector 40"/>
        <xdr:cNvCxnSpPr/>
      </xdr:nvCxnSpPr>
      <xdr:spPr>
        <a:xfrm>
          <a:off x="144703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12</xdr:row>
      <xdr:rowOff>0</xdr:rowOff>
    </xdr:from>
    <xdr:to>
      <xdr:col>52</xdr:col>
      <xdr:colOff>0</xdr:colOff>
      <xdr:row>12</xdr:row>
      <xdr:rowOff>0</xdr:rowOff>
    </xdr:to>
    <xdr:cxnSp macro="">
      <xdr:nvCxnSpPr>
        <xdr:cNvPr id="42" name="Straight Arrow Connector 41"/>
        <xdr:cNvCxnSpPr/>
      </xdr:nvCxnSpPr>
      <xdr:spPr>
        <a:xfrm>
          <a:off x="144703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10</xdr:row>
      <xdr:rowOff>0</xdr:rowOff>
    </xdr:from>
    <xdr:to>
      <xdr:col>52</xdr:col>
      <xdr:colOff>0</xdr:colOff>
      <xdr:row>10</xdr:row>
      <xdr:rowOff>0</xdr:rowOff>
    </xdr:to>
    <xdr:cxnSp macro="">
      <xdr:nvCxnSpPr>
        <xdr:cNvPr id="43" name="Straight Arrow Connector 42"/>
        <xdr:cNvCxnSpPr/>
      </xdr:nvCxnSpPr>
      <xdr:spPr>
        <a:xfrm>
          <a:off x="144703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23</xdr:row>
      <xdr:rowOff>0</xdr:rowOff>
    </xdr:from>
    <xdr:to>
      <xdr:col>56</xdr:col>
      <xdr:colOff>0</xdr:colOff>
      <xdr:row>23</xdr:row>
      <xdr:rowOff>0</xdr:rowOff>
    </xdr:to>
    <xdr:cxnSp macro="">
      <xdr:nvCxnSpPr>
        <xdr:cNvPr id="44" name="Straight Arrow Connector 43"/>
        <xdr:cNvCxnSpPr/>
      </xdr:nvCxnSpPr>
      <xdr:spPr>
        <a:xfrm>
          <a:off x="153238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21</xdr:row>
      <xdr:rowOff>0</xdr:rowOff>
    </xdr:from>
    <xdr:to>
      <xdr:col>56</xdr:col>
      <xdr:colOff>0</xdr:colOff>
      <xdr:row>21</xdr:row>
      <xdr:rowOff>0</xdr:rowOff>
    </xdr:to>
    <xdr:cxnSp macro="">
      <xdr:nvCxnSpPr>
        <xdr:cNvPr id="45" name="Straight Arrow Connector 44"/>
        <xdr:cNvCxnSpPr/>
      </xdr:nvCxnSpPr>
      <xdr:spPr>
        <a:xfrm>
          <a:off x="153238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19</xdr:row>
      <xdr:rowOff>0</xdr:rowOff>
    </xdr:from>
    <xdr:to>
      <xdr:col>56</xdr:col>
      <xdr:colOff>0</xdr:colOff>
      <xdr:row>19</xdr:row>
      <xdr:rowOff>0</xdr:rowOff>
    </xdr:to>
    <xdr:cxnSp macro="">
      <xdr:nvCxnSpPr>
        <xdr:cNvPr id="46" name="Straight Arrow Connector 45"/>
        <xdr:cNvCxnSpPr/>
      </xdr:nvCxnSpPr>
      <xdr:spPr>
        <a:xfrm>
          <a:off x="153238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12</xdr:row>
      <xdr:rowOff>0</xdr:rowOff>
    </xdr:from>
    <xdr:to>
      <xdr:col>56</xdr:col>
      <xdr:colOff>0</xdr:colOff>
      <xdr:row>12</xdr:row>
      <xdr:rowOff>0</xdr:rowOff>
    </xdr:to>
    <xdr:cxnSp macro="">
      <xdr:nvCxnSpPr>
        <xdr:cNvPr id="47" name="Straight Arrow Connector 46"/>
        <xdr:cNvCxnSpPr/>
      </xdr:nvCxnSpPr>
      <xdr:spPr>
        <a:xfrm>
          <a:off x="153238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10</xdr:row>
      <xdr:rowOff>0</xdr:rowOff>
    </xdr:from>
    <xdr:to>
      <xdr:col>56</xdr:col>
      <xdr:colOff>0</xdr:colOff>
      <xdr:row>10</xdr:row>
      <xdr:rowOff>0</xdr:rowOff>
    </xdr:to>
    <xdr:cxnSp macro="">
      <xdr:nvCxnSpPr>
        <xdr:cNvPr id="48" name="Straight Arrow Connector 47"/>
        <xdr:cNvCxnSpPr/>
      </xdr:nvCxnSpPr>
      <xdr:spPr>
        <a:xfrm>
          <a:off x="153238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23</xdr:row>
      <xdr:rowOff>0</xdr:rowOff>
    </xdr:from>
    <xdr:to>
      <xdr:col>58</xdr:col>
      <xdr:colOff>0</xdr:colOff>
      <xdr:row>23</xdr:row>
      <xdr:rowOff>0</xdr:rowOff>
    </xdr:to>
    <xdr:cxnSp macro="">
      <xdr:nvCxnSpPr>
        <xdr:cNvPr id="49" name="Straight Arrow Connector 48"/>
        <xdr:cNvCxnSpPr/>
      </xdr:nvCxnSpPr>
      <xdr:spPr>
        <a:xfrm>
          <a:off x="157505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21</xdr:row>
      <xdr:rowOff>0</xdr:rowOff>
    </xdr:from>
    <xdr:to>
      <xdr:col>58</xdr:col>
      <xdr:colOff>0</xdr:colOff>
      <xdr:row>21</xdr:row>
      <xdr:rowOff>0</xdr:rowOff>
    </xdr:to>
    <xdr:cxnSp macro="">
      <xdr:nvCxnSpPr>
        <xdr:cNvPr id="50" name="Straight Arrow Connector 49"/>
        <xdr:cNvCxnSpPr/>
      </xdr:nvCxnSpPr>
      <xdr:spPr>
        <a:xfrm>
          <a:off x="157505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19</xdr:row>
      <xdr:rowOff>0</xdr:rowOff>
    </xdr:from>
    <xdr:to>
      <xdr:col>58</xdr:col>
      <xdr:colOff>0</xdr:colOff>
      <xdr:row>19</xdr:row>
      <xdr:rowOff>0</xdr:rowOff>
    </xdr:to>
    <xdr:cxnSp macro="">
      <xdr:nvCxnSpPr>
        <xdr:cNvPr id="51" name="Straight Arrow Connector 50"/>
        <xdr:cNvCxnSpPr/>
      </xdr:nvCxnSpPr>
      <xdr:spPr>
        <a:xfrm>
          <a:off x="157505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12</xdr:row>
      <xdr:rowOff>0</xdr:rowOff>
    </xdr:from>
    <xdr:to>
      <xdr:col>58</xdr:col>
      <xdr:colOff>0</xdr:colOff>
      <xdr:row>12</xdr:row>
      <xdr:rowOff>0</xdr:rowOff>
    </xdr:to>
    <xdr:cxnSp macro="">
      <xdr:nvCxnSpPr>
        <xdr:cNvPr id="52" name="Straight Arrow Connector 51"/>
        <xdr:cNvCxnSpPr/>
      </xdr:nvCxnSpPr>
      <xdr:spPr>
        <a:xfrm>
          <a:off x="157505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10</xdr:row>
      <xdr:rowOff>0</xdr:rowOff>
    </xdr:from>
    <xdr:to>
      <xdr:col>58</xdr:col>
      <xdr:colOff>0</xdr:colOff>
      <xdr:row>10</xdr:row>
      <xdr:rowOff>0</xdr:rowOff>
    </xdr:to>
    <xdr:cxnSp macro="">
      <xdr:nvCxnSpPr>
        <xdr:cNvPr id="53" name="Straight Arrow Connector 52"/>
        <xdr:cNvCxnSpPr/>
      </xdr:nvCxnSpPr>
      <xdr:spPr>
        <a:xfrm>
          <a:off x="157505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23</xdr:row>
      <xdr:rowOff>0</xdr:rowOff>
    </xdr:from>
    <xdr:to>
      <xdr:col>62</xdr:col>
      <xdr:colOff>0</xdr:colOff>
      <xdr:row>23</xdr:row>
      <xdr:rowOff>0</xdr:rowOff>
    </xdr:to>
    <xdr:cxnSp macro="">
      <xdr:nvCxnSpPr>
        <xdr:cNvPr id="54" name="Straight Arrow Connector 53"/>
        <xdr:cNvCxnSpPr/>
      </xdr:nvCxnSpPr>
      <xdr:spPr>
        <a:xfrm>
          <a:off x="166039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21</xdr:row>
      <xdr:rowOff>0</xdr:rowOff>
    </xdr:from>
    <xdr:to>
      <xdr:col>62</xdr:col>
      <xdr:colOff>0</xdr:colOff>
      <xdr:row>21</xdr:row>
      <xdr:rowOff>0</xdr:rowOff>
    </xdr:to>
    <xdr:cxnSp macro="">
      <xdr:nvCxnSpPr>
        <xdr:cNvPr id="55" name="Straight Arrow Connector 54"/>
        <xdr:cNvCxnSpPr/>
      </xdr:nvCxnSpPr>
      <xdr:spPr>
        <a:xfrm>
          <a:off x="166039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19</xdr:row>
      <xdr:rowOff>0</xdr:rowOff>
    </xdr:from>
    <xdr:to>
      <xdr:col>62</xdr:col>
      <xdr:colOff>0</xdr:colOff>
      <xdr:row>19</xdr:row>
      <xdr:rowOff>0</xdr:rowOff>
    </xdr:to>
    <xdr:cxnSp macro="">
      <xdr:nvCxnSpPr>
        <xdr:cNvPr id="56" name="Straight Arrow Connector 55"/>
        <xdr:cNvCxnSpPr/>
      </xdr:nvCxnSpPr>
      <xdr:spPr>
        <a:xfrm>
          <a:off x="166039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12</xdr:row>
      <xdr:rowOff>0</xdr:rowOff>
    </xdr:from>
    <xdr:to>
      <xdr:col>62</xdr:col>
      <xdr:colOff>0</xdr:colOff>
      <xdr:row>12</xdr:row>
      <xdr:rowOff>0</xdr:rowOff>
    </xdr:to>
    <xdr:cxnSp macro="">
      <xdr:nvCxnSpPr>
        <xdr:cNvPr id="57" name="Straight Arrow Connector 56"/>
        <xdr:cNvCxnSpPr/>
      </xdr:nvCxnSpPr>
      <xdr:spPr>
        <a:xfrm>
          <a:off x="166039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10</xdr:row>
      <xdr:rowOff>0</xdr:rowOff>
    </xdr:from>
    <xdr:to>
      <xdr:col>62</xdr:col>
      <xdr:colOff>0</xdr:colOff>
      <xdr:row>10</xdr:row>
      <xdr:rowOff>0</xdr:rowOff>
    </xdr:to>
    <xdr:cxnSp macro="">
      <xdr:nvCxnSpPr>
        <xdr:cNvPr id="58" name="Straight Arrow Connector 57"/>
        <xdr:cNvCxnSpPr/>
      </xdr:nvCxnSpPr>
      <xdr:spPr>
        <a:xfrm>
          <a:off x="166039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23</xdr:row>
      <xdr:rowOff>0</xdr:rowOff>
    </xdr:from>
    <xdr:to>
      <xdr:col>64</xdr:col>
      <xdr:colOff>0</xdr:colOff>
      <xdr:row>23</xdr:row>
      <xdr:rowOff>0</xdr:rowOff>
    </xdr:to>
    <xdr:cxnSp macro="">
      <xdr:nvCxnSpPr>
        <xdr:cNvPr id="59" name="Straight Arrow Connector 58"/>
        <xdr:cNvCxnSpPr/>
      </xdr:nvCxnSpPr>
      <xdr:spPr>
        <a:xfrm>
          <a:off x="170307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21</xdr:row>
      <xdr:rowOff>0</xdr:rowOff>
    </xdr:from>
    <xdr:to>
      <xdr:col>64</xdr:col>
      <xdr:colOff>0</xdr:colOff>
      <xdr:row>21</xdr:row>
      <xdr:rowOff>0</xdr:rowOff>
    </xdr:to>
    <xdr:cxnSp macro="">
      <xdr:nvCxnSpPr>
        <xdr:cNvPr id="60" name="Straight Arrow Connector 59"/>
        <xdr:cNvCxnSpPr/>
      </xdr:nvCxnSpPr>
      <xdr:spPr>
        <a:xfrm>
          <a:off x="170307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19</xdr:row>
      <xdr:rowOff>0</xdr:rowOff>
    </xdr:from>
    <xdr:to>
      <xdr:col>64</xdr:col>
      <xdr:colOff>0</xdr:colOff>
      <xdr:row>19</xdr:row>
      <xdr:rowOff>0</xdr:rowOff>
    </xdr:to>
    <xdr:cxnSp macro="">
      <xdr:nvCxnSpPr>
        <xdr:cNvPr id="61" name="Straight Arrow Connector 60"/>
        <xdr:cNvCxnSpPr/>
      </xdr:nvCxnSpPr>
      <xdr:spPr>
        <a:xfrm>
          <a:off x="170307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12</xdr:row>
      <xdr:rowOff>0</xdr:rowOff>
    </xdr:from>
    <xdr:to>
      <xdr:col>64</xdr:col>
      <xdr:colOff>0</xdr:colOff>
      <xdr:row>12</xdr:row>
      <xdr:rowOff>0</xdr:rowOff>
    </xdr:to>
    <xdr:cxnSp macro="">
      <xdr:nvCxnSpPr>
        <xdr:cNvPr id="62" name="Straight Arrow Connector 61"/>
        <xdr:cNvCxnSpPr/>
      </xdr:nvCxnSpPr>
      <xdr:spPr>
        <a:xfrm>
          <a:off x="170307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10</xdr:row>
      <xdr:rowOff>0</xdr:rowOff>
    </xdr:from>
    <xdr:to>
      <xdr:col>64</xdr:col>
      <xdr:colOff>0</xdr:colOff>
      <xdr:row>10</xdr:row>
      <xdr:rowOff>0</xdr:rowOff>
    </xdr:to>
    <xdr:cxnSp macro="">
      <xdr:nvCxnSpPr>
        <xdr:cNvPr id="63" name="Straight Arrow Connector 62"/>
        <xdr:cNvCxnSpPr/>
      </xdr:nvCxnSpPr>
      <xdr:spPr>
        <a:xfrm>
          <a:off x="170307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23</xdr:row>
      <xdr:rowOff>0</xdr:rowOff>
    </xdr:from>
    <xdr:to>
      <xdr:col>70</xdr:col>
      <xdr:colOff>0</xdr:colOff>
      <xdr:row>23</xdr:row>
      <xdr:rowOff>0</xdr:rowOff>
    </xdr:to>
    <xdr:cxnSp macro="">
      <xdr:nvCxnSpPr>
        <xdr:cNvPr id="64" name="Straight Arrow Connector 63"/>
        <xdr:cNvCxnSpPr/>
      </xdr:nvCxnSpPr>
      <xdr:spPr>
        <a:xfrm>
          <a:off x="183108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21</xdr:row>
      <xdr:rowOff>0</xdr:rowOff>
    </xdr:from>
    <xdr:to>
      <xdr:col>70</xdr:col>
      <xdr:colOff>0</xdr:colOff>
      <xdr:row>21</xdr:row>
      <xdr:rowOff>0</xdr:rowOff>
    </xdr:to>
    <xdr:cxnSp macro="">
      <xdr:nvCxnSpPr>
        <xdr:cNvPr id="65" name="Straight Arrow Connector 64"/>
        <xdr:cNvCxnSpPr/>
      </xdr:nvCxnSpPr>
      <xdr:spPr>
        <a:xfrm>
          <a:off x="183108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19</xdr:row>
      <xdr:rowOff>0</xdr:rowOff>
    </xdr:from>
    <xdr:to>
      <xdr:col>70</xdr:col>
      <xdr:colOff>0</xdr:colOff>
      <xdr:row>19</xdr:row>
      <xdr:rowOff>0</xdr:rowOff>
    </xdr:to>
    <xdr:cxnSp macro="">
      <xdr:nvCxnSpPr>
        <xdr:cNvPr id="66" name="Straight Arrow Connector 65"/>
        <xdr:cNvCxnSpPr/>
      </xdr:nvCxnSpPr>
      <xdr:spPr>
        <a:xfrm>
          <a:off x="183108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12</xdr:row>
      <xdr:rowOff>0</xdr:rowOff>
    </xdr:from>
    <xdr:to>
      <xdr:col>70</xdr:col>
      <xdr:colOff>0</xdr:colOff>
      <xdr:row>12</xdr:row>
      <xdr:rowOff>0</xdr:rowOff>
    </xdr:to>
    <xdr:cxnSp macro="">
      <xdr:nvCxnSpPr>
        <xdr:cNvPr id="67" name="Straight Arrow Connector 66"/>
        <xdr:cNvCxnSpPr/>
      </xdr:nvCxnSpPr>
      <xdr:spPr>
        <a:xfrm>
          <a:off x="183108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10</xdr:row>
      <xdr:rowOff>0</xdr:rowOff>
    </xdr:from>
    <xdr:to>
      <xdr:col>70</xdr:col>
      <xdr:colOff>0</xdr:colOff>
      <xdr:row>10</xdr:row>
      <xdr:rowOff>0</xdr:rowOff>
    </xdr:to>
    <xdr:cxnSp macro="">
      <xdr:nvCxnSpPr>
        <xdr:cNvPr id="68" name="Straight Arrow Connector 67"/>
        <xdr:cNvCxnSpPr/>
      </xdr:nvCxnSpPr>
      <xdr:spPr>
        <a:xfrm>
          <a:off x="183108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23</xdr:row>
      <xdr:rowOff>0</xdr:rowOff>
    </xdr:from>
    <xdr:to>
      <xdr:col>71</xdr:col>
      <xdr:colOff>0</xdr:colOff>
      <xdr:row>23</xdr:row>
      <xdr:rowOff>0</xdr:rowOff>
    </xdr:to>
    <xdr:cxnSp macro="">
      <xdr:nvCxnSpPr>
        <xdr:cNvPr id="69" name="Straight Arrow Connector 68"/>
        <xdr:cNvCxnSpPr/>
      </xdr:nvCxnSpPr>
      <xdr:spPr>
        <a:xfrm>
          <a:off x="18524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21</xdr:row>
      <xdr:rowOff>0</xdr:rowOff>
    </xdr:from>
    <xdr:to>
      <xdr:col>71</xdr:col>
      <xdr:colOff>0</xdr:colOff>
      <xdr:row>21</xdr:row>
      <xdr:rowOff>0</xdr:rowOff>
    </xdr:to>
    <xdr:cxnSp macro="">
      <xdr:nvCxnSpPr>
        <xdr:cNvPr id="70" name="Straight Arrow Connector 69"/>
        <xdr:cNvCxnSpPr/>
      </xdr:nvCxnSpPr>
      <xdr:spPr>
        <a:xfrm>
          <a:off x="18524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19</xdr:row>
      <xdr:rowOff>0</xdr:rowOff>
    </xdr:from>
    <xdr:to>
      <xdr:col>71</xdr:col>
      <xdr:colOff>0</xdr:colOff>
      <xdr:row>19</xdr:row>
      <xdr:rowOff>0</xdr:rowOff>
    </xdr:to>
    <xdr:cxnSp macro="">
      <xdr:nvCxnSpPr>
        <xdr:cNvPr id="71" name="Straight Arrow Connector 70"/>
        <xdr:cNvCxnSpPr/>
      </xdr:nvCxnSpPr>
      <xdr:spPr>
        <a:xfrm>
          <a:off x="18524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12</xdr:row>
      <xdr:rowOff>0</xdr:rowOff>
    </xdr:from>
    <xdr:to>
      <xdr:col>71</xdr:col>
      <xdr:colOff>0</xdr:colOff>
      <xdr:row>12</xdr:row>
      <xdr:rowOff>0</xdr:rowOff>
    </xdr:to>
    <xdr:cxnSp macro="">
      <xdr:nvCxnSpPr>
        <xdr:cNvPr id="72" name="Straight Arrow Connector 71"/>
        <xdr:cNvCxnSpPr/>
      </xdr:nvCxnSpPr>
      <xdr:spPr>
        <a:xfrm>
          <a:off x="18524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10</xdr:row>
      <xdr:rowOff>0</xdr:rowOff>
    </xdr:from>
    <xdr:to>
      <xdr:col>71</xdr:col>
      <xdr:colOff>0</xdr:colOff>
      <xdr:row>10</xdr:row>
      <xdr:rowOff>0</xdr:rowOff>
    </xdr:to>
    <xdr:cxnSp macro="">
      <xdr:nvCxnSpPr>
        <xdr:cNvPr id="73" name="Straight Arrow Connector 72"/>
        <xdr:cNvCxnSpPr/>
      </xdr:nvCxnSpPr>
      <xdr:spPr>
        <a:xfrm>
          <a:off x="18524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23</xdr:row>
      <xdr:rowOff>0</xdr:rowOff>
    </xdr:from>
    <xdr:to>
      <xdr:col>72</xdr:col>
      <xdr:colOff>0</xdr:colOff>
      <xdr:row>23</xdr:row>
      <xdr:rowOff>0</xdr:rowOff>
    </xdr:to>
    <xdr:cxnSp macro="">
      <xdr:nvCxnSpPr>
        <xdr:cNvPr id="74" name="Straight Arrow Connector 73"/>
        <xdr:cNvCxnSpPr/>
      </xdr:nvCxnSpPr>
      <xdr:spPr>
        <a:xfrm>
          <a:off x="187375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21</xdr:row>
      <xdr:rowOff>0</xdr:rowOff>
    </xdr:from>
    <xdr:to>
      <xdr:col>72</xdr:col>
      <xdr:colOff>0</xdr:colOff>
      <xdr:row>21</xdr:row>
      <xdr:rowOff>0</xdr:rowOff>
    </xdr:to>
    <xdr:cxnSp macro="">
      <xdr:nvCxnSpPr>
        <xdr:cNvPr id="75" name="Straight Arrow Connector 74"/>
        <xdr:cNvCxnSpPr/>
      </xdr:nvCxnSpPr>
      <xdr:spPr>
        <a:xfrm>
          <a:off x="187375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19</xdr:row>
      <xdr:rowOff>0</xdr:rowOff>
    </xdr:from>
    <xdr:to>
      <xdr:col>72</xdr:col>
      <xdr:colOff>0</xdr:colOff>
      <xdr:row>19</xdr:row>
      <xdr:rowOff>0</xdr:rowOff>
    </xdr:to>
    <xdr:cxnSp macro="">
      <xdr:nvCxnSpPr>
        <xdr:cNvPr id="76" name="Straight Arrow Connector 75"/>
        <xdr:cNvCxnSpPr/>
      </xdr:nvCxnSpPr>
      <xdr:spPr>
        <a:xfrm>
          <a:off x="187375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12</xdr:row>
      <xdr:rowOff>0</xdr:rowOff>
    </xdr:from>
    <xdr:to>
      <xdr:col>72</xdr:col>
      <xdr:colOff>0</xdr:colOff>
      <xdr:row>12</xdr:row>
      <xdr:rowOff>0</xdr:rowOff>
    </xdr:to>
    <xdr:cxnSp macro="">
      <xdr:nvCxnSpPr>
        <xdr:cNvPr id="77" name="Straight Arrow Connector 76"/>
        <xdr:cNvCxnSpPr/>
      </xdr:nvCxnSpPr>
      <xdr:spPr>
        <a:xfrm>
          <a:off x="187375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0</xdr:colOff>
      <xdr:row>10</xdr:row>
      <xdr:rowOff>0</xdr:rowOff>
    </xdr:from>
    <xdr:to>
      <xdr:col>72</xdr:col>
      <xdr:colOff>0</xdr:colOff>
      <xdr:row>10</xdr:row>
      <xdr:rowOff>0</xdr:rowOff>
    </xdr:to>
    <xdr:cxnSp macro="">
      <xdr:nvCxnSpPr>
        <xdr:cNvPr id="78" name="Straight Arrow Connector 77"/>
        <xdr:cNvCxnSpPr/>
      </xdr:nvCxnSpPr>
      <xdr:spPr>
        <a:xfrm>
          <a:off x="187375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23</xdr:row>
      <xdr:rowOff>0</xdr:rowOff>
    </xdr:from>
    <xdr:to>
      <xdr:col>73</xdr:col>
      <xdr:colOff>0</xdr:colOff>
      <xdr:row>23</xdr:row>
      <xdr:rowOff>0</xdr:rowOff>
    </xdr:to>
    <xdr:cxnSp macro="">
      <xdr:nvCxnSpPr>
        <xdr:cNvPr id="79" name="Straight Arrow Connector 78"/>
        <xdr:cNvCxnSpPr/>
      </xdr:nvCxnSpPr>
      <xdr:spPr>
        <a:xfrm>
          <a:off x="189509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21</xdr:row>
      <xdr:rowOff>0</xdr:rowOff>
    </xdr:from>
    <xdr:to>
      <xdr:col>73</xdr:col>
      <xdr:colOff>0</xdr:colOff>
      <xdr:row>21</xdr:row>
      <xdr:rowOff>0</xdr:rowOff>
    </xdr:to>
    <xdr:cxnSp macro="">
      <xdr:nvCxnSpPr>
        <xdr:cNvPr id="80" name="Straight Arrow Connector 79"/>
        <xdr:cNvCxnSpPr/>
      </xdr:nvCxnSpPr>
      <xdr:spPr>
        <a:xfrm>
          <a:off x="189509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19</xdr:row>
      <xdr:rowOff>0</xdr:rowOff>
    </xdr:from>
    <xdr:to>
      <xdr:col>73</xdr:col>
      <xdr:colOff>0</xdr:colOff>
      <xdr:row>19</xdr:row>
      <xdr:rowOff>0</xdr:rowOff>
    </xdr:to>
    <xdr:cxnSp macro="">
      <xdr:nvCxnSpPr>
        <xdr:cNvPr id="81" name="Straight Arrow Connector 80"/>
        <xdr:cNvCxnSpPr/>
      </xdr:nvCxnSpPr>
      <xdr:spPr>
        <a:xfrm>
          <a:off x="189509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12</xdr:row>
      <xdr:rowOff>0</xdr:rowOff>
    </xdr:from>
    <xdr:to>
      <xdr:col>73</xdr:col>
      <xdr:colOff>0</xdr:colOff>
      <xdr:row>12</xdr:row>
      <xdr:rowOff>0</xdr:rowOff>
    </xdr:to>
    <xdr:cxnSp macro="">
      <xdr:nvCxnSpPr>
        <xdr:cNvPr id="82" name="Straight Arrow Connector 81"/>
        <xdr:cNvCxnSpPr/>
      </xdr:nvCxnSpPr>
      <xdr:spPr>
        <a:xfrm>
          <a:off x="189509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10</xdr:row>
      <xdr:rowOff>0</xdr:rowOff>
    </xdr:from>
    <xdr:to>
      <xdr:col>73</xdr:col>
      <xdr:colOff>0</xdr:colOff>
      <xdr:row>10</xdr:row>
      <xdr:rowOff>0</xdr:rowOff>
    </xdr:to>
    <xdr:cxnSp macro="">
      <xdr:nvCxnSpPr>
        <xdr:cNvPr id="83" name="Straight Arrow Connector 82"/>
        <xdr:cNvCxnSpPr/>
      </xdr:nvCxnSpPr>
      <xdr:spPr>
        <a:xfrm>
          <a:off x="189509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23</xdr:row>
      <xdr:rowOff>0</xdr:rowOff>
    </xdr:from>
    <xdr:to>
      <xdr:col>75</xdr:col>
      <xdr:colOff>0</xdr:colOff>
      <xdr:row>23</xdr:row>
      <xdr:rowOff>0</xdr:rowOff>
    </xdr:to>
    <xdr:cxnSp macro="">
      <xdr:nvCxnSpPr>
        <xdr:cNvPr id="84" name="Straight Arrow Connector 83"/>
        <xdr:cNvCxnSpPr/>
      </xdr:nvCxnSpPr>
      <xdr:spPr>
        <a:xfrm>
          <a:off x="193776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21</xdr:row>
      <xdr:rowOff>20320</xdr:rowOff>
    </xdr:from>
    <xdr:to>
      <xdr:col>75</xdr:col>
      <xdr:colOff>0</xdr:colOff>
      <xdr:row>21</xdr:row>
      <xdr:rowOff>20320</xdr:rowOff>
    </xdr:to>
    <xdr:cxnSp macro="">
      <xdr:nvCxnSpPr>
        <xdr:cNvPr id="85" name="Straight Arrow Connector 84"/>
        <xdr:cNvCxnSpPr/>
      </xdr:nvCxnSpPr>
      <xdr:spPr>
        <a:xfrm>
          <a:off x="19377660" y="547624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19</xdr:row>
      <xdr:rowOff>0</xdr:rowOff>
    </xdr:from>
    <xdr:to>
      <xdr:col>75</xdr:col>
      <xdr:colOff>0</xdr:colOff>
      <xdr:row>19</xdr:row>
      <xdr:rowOff>0</xdr:rowOff>
    </xdr:to>
    <xdr:cxnSp macro="">
      <xdr:nvCxnSpPr>
        <xdr:cNvPr id="86" name="Straight Arrow Connector 85"/>
        <xdr:cNvCxnSpPr/>
      </xdr:nvCxnSpPr>
      <xdr:spPr>
        <a:xfrm>
          <a:off x="193776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12</xdr:row>
      <xdr:rowOff>0</xdr:rowOff>
    </xdr:from>
    <xdr:to>
      <xdr:col>75</xdr:col>
      <xdr:colOff>0</xdr:colOff>
      <xdr:row>12</xdr:row>
      <xdr:rowOff>0</xdr:rowOff>
    </xdr:to>
    <xdr:cxnSp macro="">
      <xdr:nvCxnSpPr>
        <xdr:cNvPr id="87" name="Straight Arrow Connector 86"/>
        <xdr:cNvCxnSpPr/>
      </xdr:nvCxnSpPr>
      <xdr:spPr>
        <a:xfrm>
          <a:off x="193776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10</xdr:row>
      <xdr:rowOff>0</xdr:rowOff>
    </xdr:from>
    <xdr:to>
      <xdr:col>75</xdr:col>
      <xdr:colOff>0</xdr:colOff>
      <xdr:row>10</xdr:row>
      <xdr:rowOff>0</xdr:rowOff>
    </xdr:to>
    <xdr:cxnSp macro="">
      <xdr:nvCxnSpPr>
        <xdr:cNvPr id="88" name="Straight Arrow Connector 87"/>
        <xdr:cNvCxnSpPr/>
      </xdr:nvCxnSpPr>
      <xdr:spPr>
        <a:xfrm>
          <a:off x="193776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4</xdr:col>
      <xdr:colOff>0</xdr:colOff>
      <xdr:row>9</xdr:row>
      <xdr:rowOff>0</xdr:rowOff>
    </xdr:to>
    <xdr:cxnSp macro="">
      <xdr:nvCxnSpPr>
        <xdr:cNvPr id="89" name="Straight Connector 88"/>
        <xdr:cNvCxnSpPr/>
      </xdr:nvCxnSpPr>
      <xdr:spPr>
        <a:xfrm>
          <a:off x="43434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0</xdr:rowOff>
    </xdr:from>
    <xdr:to>
      <xdr:col>8</xdr:col>
      <xdr:colOff>0</xdr:colOff>
      <xdr:row>9</xdr:row>
      <xdr:rowOff>0</xdr:rowOff>
    </xdr:to>
    <xdr:cxnSp macro="">
      <xdr:nvCxnSpPr>
        <xdr:cNvPr id="90" name="Straight Connector 89"/>
        <xdr:cNvCxnSpPr/>
      </xdr:nvCxnSpPr>
      <xdr:spPr>
        <a:xfrm>
          <a:off x="168402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9</xdr:row>
      <xdr:rowOff>0</xdr:rowOff>
    </xdr:to>
    <xdr:cxnSp macro="">
      <xdr:nvCxnSpPr>
        <xdr:cNvPr id="91" name="Straight Connector 90"/>
        <xdr:cNvCxnSpPr/>
      </xdr:nvCxnSpPr>
      <xdr:spPr>
        <a:xfrm>
          <a:off x="293370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9</xdr:row>
      <xdr:rowOff>0</xdr:rowOff>
    </xdr:from>
    <xdr:to>
      <xdr:col>16</xdr:col>
      <xdr:colOff>0</xdr:colOff>
      <xdr:row>9</xdr:row>
      <xdr:rowOff>0</xdr:rowOff>
    </xdr:to>
    <xdr:cxnSp macro="">
      <xdr:nvCxnSpPr>
        <xdr:cNvPr id="92" name="Straight Connector 91"/>
        <xdr:cNvCxnSpPr/>
      </xdr:nvCxnSpPr>
      <xdr:spPr>
        <a:xfrm>
          <a:off x="4183380" y="22555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25</xdr:row>
      <xdr:rowOff>0</xdr:rowOff>
    </xdr:from>
    <xdr:to>
      <xdr:col>4</xdr:col>
      <xdr:colOff>0</xdr:colOff>
      <xdr:row>25</xdr:row>
      <xdr:rowOff>0</xdr:rowOff>
    </xdr:to>
    <xdr:cxnSp macro="">
      <xdr:nvCxnSpPr>
        <xdr:cNvPr id="93" name="Straight Connector 92"/>
        <xdr:cNvCxnSpPr/>
      </xdr:nvCxnSpPr>
      <xdr:spPr>
        <a:xfrm>
          <a:off x="43434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25</xdr:row>
      <xdr:rowOff>0</xdr:rowOff>
    </xdr:to>
    <xdr:cxnSp macro="">
      <xdr:nvCxnSpPr>
        <xdr:cNvPr id="94" name="Straight Connector 93"/>
        <xdr:cNvCxnSpPr/>
      </xdr:nvCxnSpPr>
      <xdr:spPr>
        <a:xfrm>
          <a:off x="168402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</xdr:row>
      <xdr:rowOff>0</xdr:rowOff>
    </xdr:from>
    <xdr:to>
      <xdr:col>12</xdr:col>
      <xdr:colOff>0</xdr:colOff>
      <xdr:row>25</xdr:row>
      <xdr:rowOff>0</xdr:rowOff>
    </xdr:to>
    <xdr:cxnSp macro="">
      <xdr:nvCxnSpPr>
        <xdr:cNvPr id="95" name="Straight Connector 94"/>
        <xdr:cNvCxnSpPr/>
      </xdr:nvCxnSpPr>
      <xdr:spPr>
        <a:xfrm>
          <a:off x="293370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25</xdr:row>
      <xdr:rowOff>0</xdr:rowOff>
    </xdr:from>
    <xdr:to>
      <xdr:col>16</xdr:col>
      <xdr:colOff>0</xdr:colOff>
      <xdr:row>25</xdr:row>
      <xdr:rowOff>0</xdr:rowOff>
    </xdr:to>
    <xdr:cxnSp macro="">
      <xdr:nvCxnSpPr>
        <xdr:cNvPr id="96" name="Straight Connector 95"/>
        <xdr:cNvCxnSpPr/>
      </xdr:nvCxnSpPr>
      <xdr:spPr>
        <a:xfrm>
          <a:off x="4183380" y="6522720"/>
          <a:ext cx="624840" cy="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12</xdr:row>
      <xdr:rowOff>0</xdr:rowOff>
    </xdr:to>
    <xdr:cxnSp macro="">
      <xdr:nvCxnSpPr>
        <xdr:cNvPr id="97" name="Straight Connector 96"/>
        <xdr:cNvCxnSpPr/>
      </xdr:nvCxnSpPr>
      <xdr:spPr>
        <a:xfrm>
          <a:off x="121920" y="25222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0</xdr:rowOff>
    </xdr:from>
    <xdr:to>
      <xdr:col>1</xdr:col>
      <xdr:colOff>0</xdr:colOff>
      <xdr:row>16</xdr:row>
      <xdr:rowOff>0</xdr:rowOff>
    </xdr:to>
    <xdr:cxnSp macro="">
      <xdr:nvCxnSpPr>
        <xdr:cNvPr id="98" name="Straight Connector 97"/>
        <xdr:cNvCxnSpPr/>
      </xdr:nvCxnSpPr>
      <xdr:spPr>
        <a:xfrm>
          <a:off x="121920" y="35890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20</xdr:row>
      <xdr:rowOff>0</xdr:rowOff>
    </xdr:to>
    <xdr:cxnSp macro="">
      <xdr:nvCxnSpPr>
        <xdr:cNvPr id="99" name="Straight Connector 98"/>
        <xdr:cNvCxnSpPr/>
      </xdr:nvCxnSpPr>
      <xdr:spPr>
        <a:xfrm>
          <a:off x="121920" y="46558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0</xdr:colOff>
      <xdr:row>24</xdr:row>
      <xdr:rowOff>1</xdr:rowOff>
    </xdr:to>
    <xdr:cxnSp macro="">
      <xdr:nvCxnSpPr>
        <xdr:cNvPr id="100" name="Straight Connector 99"/>
        <xdr:cNvCxnSpPr/>
      </xdr:nvCxnSpPr>
      <xdr:spPr>
        <a:xfrm>
          <a:off x="121920" y="5722620"/>
          <a:ext cx="0" cy="533401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10</xdr:row>
      <xdr:rowOff>0</xdr:rowOff>
    </xdr:from>
    <xdr:to>
      <xdr:col>17</xdr:col>
      <xdr:colOff>0</xdr:colOff>
      <xdr:row>12</xdr:row>
      <xdr:rowOff>0</xdr:rowOff>
    </xdr:to>
    <xdr:cxnSp macro="">
      <xdr:nvCxnSpPr>
        <xdr:cNvPr id="101" name="Straight Connector 100"/>
        <xdr:cNvCxnSpPr/>
      </xdr:nvCxnSpPr>
      <xdr:spPr>
        <a:xfrm>
          <a:off x="5120640" y="25222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14</xdr:row>
      <xdr:rowOff>0</xdr:rowOff>
    </xdr:from>
    <xdr:to>
      <xdr:col>17</xdr:col>
      <xdr:colOff>0</xdr:colOff>
      <xdr:row>16</xdr:row>
      <xdr:rowOff>0</xdr:rowOff>
    </xdr:to>
    <xdr:cxnSp macro="">
      <xdr:nvCxnSpPr>
        <xdr:cNvPr id="102" name="Straight Connector 101"/>
        <xdr:cNvCxnSpPr/>
      </xdr:nvCxnSpPr>
      <xdr:spPr>
        <a:xfrm>
          <a:off x="5120640" y="35890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18</xdr:row>
      <xdr:rowOff>0</xdr:rowOff>
    </xdr:from>
    <xdr:to>
      <xdr:col>17</xdr:col>
      <xdr:colOff>0</xdr:colOff>
      <xdr:row>20</xdr:row>
      <xdr:rowOff>0</xdr:rowOff>
    </xdr:to>
    <xdr:cxnSp macro="">
      <xdr:nvCxnSpPr>
        <xdr:cNvPr id="103" name="Straight Connector 102"/>
        <xdr:cNvCxnSpPr/>
      </xdr:nvCxnSpPr>
      <xdr:spPr>
        <a:xfrm>
          <a:off x="5120640" y="4655820"/>
          <a:ext cx="0" cy="533400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22</xdr:row>
      <xdr:rowOff>0</xdr:rowOff>
    </xdr:from>
    <xdr:to>
      <xdr:col>17</xdr:col>
      <xdr:colOff>0</xdr:colOff>
      <xdr:row>24</xdr:row>
      <xdr:rowOff>1</xdr:rowOff>
    </xdr:to>
    <xdr:cxnSp macro="">
      <xdr:nvCxnSpPr>
        <xdr:cNvPr id="104" name="Straight Connector 103"/>
        <xdr:cNvCxnSpPr/>
      </xdr:nvCxnSpPr>
      <xdr:spPr>
        <a:xfrm>
          <a:off x="5120640" y="5722620"/>
          <a:ext cx="0" cy="533401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20320</xdr:colOff>
      <xdr:row>8</xdr:row>
      <xdr:rowOff>30480</xdr:rowOff>
    </xdr:from>
    <xdr:to>
      <xdr:col>36</xdr:col>
      <xdr:colOff>20320</xdr:colOff>
      <xdr:row>12</xdr:row>
      <xdr:rowOff>204652</xdr:rowOff>
    </xdr:to>
    <xdr:cxnSp macro="">
      <xdr:nvCxnSpPr>
        <xdr:cNvPr id="105" name="Straight Connector 104"/>
        <xdr:cNvCxnSpPr/>
      </xdr:nvCxnSpPr>
      <xdr:spPr>
        <a:xfrm>
          <a:off x="9514840" y="2019300"/>
          <a:ext cx="1562100" cy="1240972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8</xdr:row>
      <xdr:rowOff>32657</xdr:rowOff>
    </xdr:from>
    <xdr:to>
      <xdr:col>36</xdr:col>
      <xdr:colOff>0</xdr:colOff>
      <xdr:row>13</xdr:row>
      <xdr:rowOff>0</xdr:rowOff>
    </xdr:to>
    <xdr:cxnSp macro="">
      <xdr:nvCxnSpPr>
        <xdr:cNvPr id="106" name="Straight Connector 105"/>
        <xdr:cNvCxnSpPr/>
      </xdr:nvCxnSpPr>
      <xdr:spPr>
        <a:xfrm flipV="1">
          <a:off x="9494520" y="2021477"/>
          <a:ext cx="1562100" cy="1300843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32657</xdr:colOff>
      <xdr:row>12</xdr:row>
      <xdr:rowOff>10885</xdr:rowOff>
    </xdr:from>
    <xdr:to>
      <xdr:col>14</xdr:col>
      <xdr:colOff>32657</xdr:colOff>
      <xdr:row>22</xdr:row>
      <xdr:rowOff>10885</xdr:rowOff>
    </xdr:to>
    <xdr:cxnSp macro="">
      <xdr:nvCxnSpPr>
        <xdr:cNvPr id="107" name="Straight Connector 106"/>
        <xdr:cNvCxnSpPr/>
      </xdr:nvCxnSpPr>
      <xdr:spPr>
        <a:xfrm flipV="1">
          <a:off x="1091837" y="3066505"/>
          <a:ext cx="3124200" cy="2667000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228599</xdr:colOff>
      <xdr:row>12</xdr:row>
      <xdr:rowOff>0</xdr:rowOff>
    </xdr:from>
    <xdr:to>
      <xdr:col>13</xdr:col>
      <xdr:colOff>228599</xdr:colOff>
      <xdr:row>22</xdr:row>
      <xdr:rowOff>0</xdr:rowOff>
    </xdr:to>
    <xdr:cxnSp macro="">
      <xdr:nvCxnSpPr>
        <xdr:cNvPr id="108" name="Straight Connector 107"/>
        <xdr:cNvCxnSpPr/>
      </xdr:nvCxnSpPr>
      <xdr:spPr>
        <a:xfrm>
          <a:off x="975359" y="3055620"/>
          <a:ext cx="3124200" cy="2667000"/>
        </a:xfrm>
        <a:prstGeom prst="line">
          <a:avLst/>
        </a:prstGeom>
        <a:ln w="1905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cxnSp macro="">
      <xdr:nvCxnSpPr>
        <xdr:cNvPr id="109" name="Straight Connector 108"/>
        <xdr:cNvCxnSpPr/>
      </xdr:nvCxnSpPr>
      <xdr:spPr>
        <a:xfrm flipV="1">
          <a:off x="11056620" y="35890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cxnSp macro="">
      <xdr:nvCxnSpPr>
        <xdr:cNvPr id="110" name="Straight Connector 109"/>
        <xdr:cNvCxnSpPr/>
      </xdr:nvCxnSpPr>
      <xdr:spPr>
        <a:xfrm>
          <a:off x="11056620" y="35890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cxnSp macro="">
      <xdr:nvCxnSpPr>
        <xdr:cNvPr id="111" name="Straight Connector 110"/>
        <xdr:cNvCxnSpPr/>
      </xdr:nvCxnSpPr>
      <xdr:spPr>
        <a:xfrm flipV="1">
          <a:off x="11056620" y="38557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cxnSp macro="">
      <xdr:nvCxnSpPr>
        <xdr:cNvPr id="112" name="Straight Connector 111"/>
        <xdr:cNvCxnSpPr/>
      </xdr:nvCxnSpPr>
      <xdr:spPr>
        <a:xfrm>
          <a:off x="11056620" y="38557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9</xdr:row>
      <xdr:rowOff>0</xdr:rowOff>
    </xdr:from>
    <xdr:to>
      <xdr:col>37</xdr:col>
      <xdr:colOff>0</xdr:colOff>
      <xdr:row>10</xdr:row>
      <xdr:rowOff>0</xdr:rowOff>
    </xdr:to>
    <xdr:cxnSp macro="">
      <xdr:nvCxnSpPr>
        <xdr:cNvPr id="113" name="Straight Connector 112"/>
        <xdr:cNvCxnSpPr/>
      </xdr:nvCxnSpPr>
      <xdr:spPr>
        <a:xfrm>
          <a:off x="11056620" y="22555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9</xdr:row>
      <xdr:rowOff>0</xdr:rowOff>
    </xdr:from>
    <xdr:to>
      <xdr:col>37</xdr:col>
      <xdr:colOff>0</xdr:colOff>
      <xdr:row>10</xdr:row>
      <xdr:rowOff>0</xdr:rowOff>
    </xdr:to>
    <xdr:cxnSp macro="">
      <xdr:nvCxnSpPr>
        <xdr:cNvPr id="114" name="Straight Connector 113"/>
        <xdr:cNvCxnSpPr/>
      </xdr:nvCxnSpPr>
      <xdr:spPr>
        <a:xfrm flipV="1">
          <a:off x="11056620" y="22555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10</xdr:row>
      <xdr:rowOff>0</xdr:rowOff>
    </xdr:from>
    <xdr:to>
      <xdr:col>37</xdr:col>
      <xdr:colOff>0</xdr:colOff>
      <xdr:row>11</xdr:row>
      <xdr:rowOff>0</xdr:rowOff>
    </xdr:to>
    <xdr:cxnSp macro="">
      <xdr:nvCxnSpPr>
        <xdr:cNvPr id="115" name="Straight Connector 114"/>
        <xdr:cNvCxnSpPr/>
      </xdr:nvCxnSpPr>
      <xdr:spPr>
        <a:xfrm>
          <a:off x="11056620" y="25222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10</xdr:row>
      <xdr:rowOff>0</xdr:rowOff>
    </xdr:from>
    <xdr:to>
      <xdr:col>37</xdr:col>
      <xdr:colOff>0</xdr:colOff>
      <xdr:row>11</xdr:row>
      <xdr:rowOff>0</xdr:rowOff>
    </xdr:to>
    <xdr:cxnSp macro="">
      <xdr:nvCxnSpPr>
        <xdr:cNvPr id="116" name="Straight Connector 115"/>
        <xdr:cNvCxnSpPr/>
      </xdr:nvCxnSpPr>
      <xdr:spPr>
        <a:xfrm flipV="1">
          <a:off x="11056620" y="25222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11</xdr:row>
      <xdr:rowOff>0</xdr:rowOff>
    </xdr:from>
    <xdr:to>
      <xdr:col>37</xdr:col>
      <xdr:colOff>0</xdr:colOff>
      <xdr:row>12</xdr:row>
      <xdr:rowOff>0</xdr:rowOff>
    </xdr:to>
    <xdr:cxnSp macro="">
      <xdr:nvCxnSpPr>
        <xdr:cNvPr id="117" name="Straight Connector 116"/>
        <xdr:cNvCxnSpPr/>
      </xdr:nvCxnSpPr>
      <xdr:spPr>
        <a:xfrm>
          <a:off x="11056620" y="27889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11</xdr:row>
      <xdr:rowOff>0</xdr:rowOff>
    </xdr:from>
    <xdr:to>
      <xdr:col>37</xdr:col>
      <xdr:colOff>0</xdr:colOff>
      <xdr:row>12</xdr:row>
      <xdr:rowOff>0</xdr:rowOff>
    </xdr:to>
    <xdr:cxnSp macro="">
      <xdr:nvCxnSpPr>
        <xdr:cNvPr id="118" name="Straight Connector 117"/>
        <xdr:cNvCxnSpPr/>
      </xdr:nvCxnSpPr>
      <xdr:spPr>
        <a:xfrm flipV="1">
          <a:off x="11056620" y="27889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12</xdr:row>
      <xdr:rowOff>0</xdr:rowOff>
    </xdr:from>
    <xdr:to>
      <xdr:col>37</xdr:col>
      <xdr:colOff>0</xdr:colOff>
      <xdr:row>13</xdr:row>
      <xdr:rowOff>0</xdr:rowOff>
    </xdr:to>
    <xdr:cxnSp macro="">
      <xdr:nvCxnSpPr>
        <xdr:cNvPr id="119" name="Straight Connector 118"/>
        <xdr:cNvCxnSpPr/>
      </xdr:nvCxnSpPr>
      <xdr:spPr>
        <a:xfrm>
          <a:off x="11056620" y="30556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12</xdr:row>
      <xdr:rowOff>0</xdr:rowOff>
    </xdr:from>
    <xdr:to>
      <xdr:col>37</xdr:col>
      <xdr:colOff>0</xdr:colOff>
      <xdr:row>13</xdr:row>
      <xdr:rowOff>0</xdr:rowOff>
    </xdr:to>
    <xdr:cxnSp macro="">
      <xdr:nvCxnSpPr>
        <xdr:cNvPr id="120" name="Straight Connector 119"/>
        <xdr:cNvCxnSpPr/>
      </xdr:nvCxnSpPr>
      <xdr:spPr>
        <a:xfrm flipV="1">
          <a:off x="11056620" y="3055620"/>
          <a:ext cx="312420" cy="26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23</xdr:row>
      <xdr:rowOff>0</xdr:rowOff>
    </xdr:from>
    <xdr:to>
      <xdr:col>78</xdr:col>
      <xdr:colOff>0</xdr:colOff>
      <xdr:row>23</xdr:row>
      <xdr:rowOff>0</xdr:rowOff>
    </xdr:to>
    <xdr:cxnSp macro="">
      <xdr:nvCxnSpPr>
        <xdr:cNvPr id="121" name="Straight Arrow Connector 120"/>
        <xdr:cNvCxnSpPr/>
      </xdr:nvCxnSpPr>
      <xdr:spPr>
        <a:xfrm>
          <a:off x="200177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21</xdr:row>
      <xdr:rowOff>0</xdr:rowOff>
    </xdr:from>
    <xdr:to>
      <xdr:col>78</xdr:col>
      <xdr:colOff>0</xdr:colOff>
      <xdr:row>21</xdr:row>
      <xdr:rowOff>0</xdr:rowOff>
    </xdr:to>
    <xdr:cxnSp macro="">
      <xdr:nvCxnSpPr>
        <xdr:cNvPr id="122" name="Straight Arrow Connector 121"/>
        <xdr:cNvCxnSpPr/>
      </xdr:nvCxnSpPr>
      <xdr:spPr>
        <a:xfrm>
          <a:off x="200177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19</xdr:row>
      <xdr:rowOff>0</xdr:rowOff>
    </xdr:from>
    <xdr:to>
      <xdr:col>78</xdr:col>
      <xdr:colOff>0</xdr:colOff>
      <xdr:row>19</xdr:row>
      <xdr:rowOff>0</xdr:rowOff>
    </xdr:to>
    <xdr:cxnSp macro="">
      <xdr:nvCxnSpPr>
        <xdr:cNvPr id="123" name="Straight Arrow Connector 122"/>
        <xdr:cNvCxnSpPr/>
      </xdr:nvCxnSpPr>
      <xdr:spPr>
        <a:xfrm>
          <a:off x="200177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12</xdr:row>
      <xdr:rowOff>0</xdr:rowOff>
    </xdr:from>
    <xdr:to>
      <xdr:col>78</xdr:col>
      <xdr:colOff>0</xdr:colOff>
      <xdr:row>12</xdr:row>
      <xdr:rowOff>0</xdr:rowOff>
    </xdr:to>
    <xdr:cxnSp macro="">
      <xdr:nvCxnSpPr>
        <xdr:cNvPr id="124" name="Straight Arrow Connector 123"/>
        <xdr:cNvCxnSpPr/>
      </xdr:nvCxnSpPr>
      <xdr:spPr>
        <a:xfrm>
          <a:off x="200177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10</xdr:row>
      <xdr:rowOff>0</xdr:rowOff>
    </xdr:from>
    <xdr:to>
      <xdr:col>78</xdr:col>
      <xdr:colOff>0</xdr:colOff>
      <xdr:row>10</xdr:row>
      <xdr:rowOff>0</xdr:rowOff>
    </xdr:to>
    <xdr:cxnSp macro="">
      <xdr:nvCxnSpPr>
        <xdr:cNvPr id="125" name="Straight Arrow Connector 124"/>
        <xdr:cNvCxnSpPr/>
      </xdr:nvCxnSpPr>
      <xdr:spPr>
        <a:xfrm>
          <a:off x="200177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23</xdr:row>
      <xdr:rowOff>0</xdr:rowOff>
    </xdr:from>
    <xdr:to>
      <xdr:col>79</xdr:col>
      <xdr:colOff>0</xdr:colOff>
      <xdr:row>23</xdr:row>
      <xdr:rowOff>0</xdr:rowOff>
    </xdr:to>
    <xdr:cxnSp macro="">
      <xdr:nvCxnSpPr>
        <xdr:cNvPr id="126" name="Straight Arrow Connector 125"/>
        <xdr:cNvCxnSpPr/>
      </xdr:nvCxnSpPr>
      <xdr:spPr>
        <a:xfrm>
          <a:off x="202311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21</xdr:row>
      <xdr:rowOff>0</xdr:rowOff>
    </xdr:from>
    <xdr:to>
      <xdr:col>79</xdr:col>
      <xdr:colOff>0</xdr:colOff>
      <xdr:row>21</xdr:row>
      <xdr:rowOff>0</xdr:rowOff>
    </xdr:to>
    <xdr:cxnSp macro="">
      <xdr:nvCxnSpPr>
        <xdr:cNvPr id="127" name="Straight Arrow Connector 126"/>
        <xdr:cNvCxnSpPr/>
      </xdr:nvCxnSpPr>
      <xdr:spPr>
        <a:xfrm>
          <a:off x="202311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19</xdr:row>
      <xdr:rowOff>0</xdr:rowOff>
    </xdr:from>
    <xdr:to>
      <xdr:col>79</xdr:col>
      <xdr:colOff>0</xdr:colOff>
      <xdr:row>19</xdr:row>
      <xdr:rowOff>0</xdr:rowOff>
    </xdr:to>
    <xdr:cxnSp macro="">
      <xdr:nvCxnSpPr>
        <xdr:cNvPr id="128" name="Straight Arrow Connector 127"/>
        <xdr:cNvCxnSpPr/>
      </xdr:nvCxnSpPr>
      <xdr:spPr>
        <a:xfrm>
          <a:off x="202311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12</xdr:row>
      <xdr:rowOff>0</xdr:rowOff>
    </xdr:from>
    <xdr:to>
      <xdr:col>79</xdr:col>
      <xdr:colOff>0</xdr:colOff>
      <xdr:row>12</xdr:row>
      <xdr:rowOff>0</xdr:rowOff>
    </xdr:to>
    <xdr:cxnSp macro="">
      <xdr:nvCxnSpPr>
        <xdr:cNvPr id="129" name="Straight Arrow Connector 128"/>
        <xdr:cNvCxnSpPr/>
      </xdr:nvCxnSpPr>
      <xdr:spPr>
        <a:xfrm>
          <a:off x="202311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10</xdr:row>
      <xdr:rowOff>0</xdr:rowOff>
    </xdr:from>
    <xdr:to>
      <xdr:col>79</xdr:col>
      <xdr:colOff>0</xdr:colOff>
      <xdr:row>10</xdr:row>
      <xdr:rowOff>0</xdr:rowOff>
    </xdr:to>
    <xdr:cxnSp macro="">
      <xdr:nvCxnSpPr>
        <xdr:cNvPr id="130" name="Straight Arrow Connector 129"/>
        <xdr:cNvCxnSpPr/>
      </xdr:nvCxnSpPr>
      <xdr:spPr>
        <a:xfrm>
          <a:off x="202311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23</xdr:row>
      <xdr:rowOff>0</xdr:rowOff>
    </xdr:from>
    <xdr:to>
      <xdr:col>80</xdr:col>
      <xdr:colOff>0</xdr:colOff>
      <xdr:row>23</xdr:row>
      <xdr:rowOff>0</xdr:rowOff>
    </xdr:to>
    <xdr:cxnSp macro="">
      <xdr:nvCxnSpPr>
        <xdr:cNvPr id="131" name="Straight Arrow Connector 130"/>
        <xdr:cNvCxnSpPr/>
      </xdr:nvCxnSpPr>
      <xdr:spPr>
        <a:xfrm>
          <a:off x="204444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21</xdr:row>
      <xdr:rowOff>0</xdr:rowOff>
    </xdr:from>
    <xdr:to>
      <xdr:col>80</xdr:col>
      <xdr:colOff>0</xdr:colOff>
      <xdr:row>21</xdr:row>
      <xdr:rowOff>0</xdr:rowOff>
    </xdr:to>
    <xdr:cxnSp macro="">
      <xdr:nvCxnSpPr>
        <xdr:cNvPr id="132" name="Straight Arrow Connector 131"/>
        <xdr:cNvCxnSpPr/>
      </xdr:nvCxnSpPr>
      <xdr:spPr>
        <a:xfrm>
          <a:off x="204444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19</xdr:row>
      <xdr:rowOff>0</xdr:rowOff>
    </xdr:from>
    <xdr:to>
      <xdr:col>80</xdr:col>
      <xdr:colOff>0</xdr:colOff>
      <xdr:row>19</xdr:row>
      <xdr:rowOff>0</xdr:rowOff>
    </xdr:to>
    <xdr:cxnSp macro="">
      <xdr:nvCxnSpPr>
        <xdr:cNvPr id="133" name="Straight Arrow Connector 132"/>
        <xdr:cNvCxnSpPr/>
      </xdr:nvCxnSpPr>
      <xdr:spPr>
        <a:xfrm>
          <a:off x="204444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12</xdr:row>
      <xdr:rowOff>0</xdr:rowOff>
    </xdr:from>
    <xdr:to>
      <xdr:col>80</xdr:col>
      <xdr:colOff>0</xdr:colOff>
      <xdr:row>12</xdr:row>
      <xdr:rowOff>0</xdr:rowOff>
    </xdr:to>
    <xdr:cxnSp macro="">
      <xdr:nvCxnSpPr>
        <xdr:cNvPr id="134" name="Straight Arrow Connector 133"/>
        <xdr:cNvCxnSpPr/>
      </xdr:nvCxnSpPr>
      <xdr:spPr>
        <a:xfrm>
          <a:off x="204444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10</xdr:row>
      <xdr:rowOff>0</xdr:rowOff>
    </xdr:from>
    <xdr:to>
      <xdr:col>80</xdr:col>
      <xdr:colOff>0</xdr:colOff>
      <xdr:row>10</xdr:row>
      <xdr:rowOff>0</xdr:rowOff>
    </xdr:to>
    <xdr:cxnSp macro="">
      <xdr:nvCxnSpPr>
        <xdr:cNvPr id="135" name="Straight Arrow Connector 134"/>
        <xdr:cNvCxnSpPr/>
      </xdr:nvCxnSpPr>
      <xdr:spPr>
        <a:xfrm>
          <a:off x="204444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23</xdr:row>
      <xdr:rowOff>0</xdr:rowOff>
    </xdr:from>
    <xdr:to>
      <xdr:col>81</xdr:col>
      <xdr:colOff>0</xdr:colOff>
      <xdr:row>23</xdr:row>
      <xdr:rowOff>0</xdr:rowOff>
    </xdr:to>
    <xdr:cxnSp macro="">
      <xdr:nvCxnSpPr>
        <xdr:cNvPr id="136" name="Straight Arrow Connector 135"/>
        <xdr:cNvCxnSpPr/>
      </xdr:nvCxnSpPr>
      <xdr:spPr>
        <a:xfrm>
          <a:off x="206578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21</xdr:row>
      <xdr:rowOff>0</xdr:rowOff>
    </xdr:from>
    <xdr:to>
      <xdr:col>81</xdr:col>
      <xdr:colOff>0</xdr:colOff>
      <xdr:row>21</xdr:row>
      <xdr:rowOff>0</xdr:rowOff>
    </xdr:to>
    <xdr:cxnSp macro="">
      <xdr:nvCxnSpPr>
        <xdr:cNvPr id="137" name="Straight Arrow Connector 136"/>
        <xdr:cNvCxnSpPr/>
      </xdr:nvCxnSpPr>
      <xdr:spPr>
        <a:xfrm>
          <a:off x="206578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19</xdr:row>
      <xdr:rowOff>0</xdr:rowOff>
    </xdr:from>
    <xdr:to>
      <xdr:col>81</xdr:col>
      <xdr:colOff>0</xdr:colOff>
      <xdr:row>19</xdr:row>
      <xdr:rowOff>0</xdr:rowOff>
    </xdr:to>
    <xdr:cxnSp macro="">
      <xdr:nvCxnSpPr>
        <xdr:cNvPr id="138" name="Straight Arrow Connector 137"/>
        <xdr:cNvCxnSpPr/>
      </xdr:nvCxnSpPr>
      <xdr:spPr>
        <a:xfrm>
          <a:off x="206578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12</xdr:row>
      <xdr:rowOff>0</xdr:rowOff>
    </xdr:from>
    <xdr:to>
      <xdr:col>81</xdr:col>
      <xdr:colOff>0</xdr:colOff>
      <xdr:row>12</xdr:row>
      <xdr:rowOff>0</xdr:rowOff>
    </xdr:to>
    <xdr:cxnSp macro="">
      <xdr:nvCxnSpPr>
        <xdr:cNvPr id="139" name="Straight Arrow Connector 138"/>
        <xdr:cNvCxnSpPr/>
      </xdr:nvCxnSpPr>
      <xdr:spPr>
        <a:xfrm>
          <a:off x="206578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10</xdr:row>
      <xdr:rowOff>0</xdr:rowOff>
    </xdr:from>
    <xdr:to>
      <xdr:col>81</xdr:col>
      <xdr:colOff>0</xdr:colOff>
      <xdr:row>10</xdr:row>
      <xdr:rowOff>0</xdr:rowOff>
    </xdr:to>
    <xdr:cxnSp macro="">
      <xdr:nvCxnSpPr>
        <xdr:cNvPr id="140" name="Straight Arrow Connector 139"/>
        <xdr:cNvCxnSpPr/>
      </xdr:nvCxnSpPr>
      <xdr:spPr>
        <a:xfrm>
          <a:off x="206578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23</xdr:row>
      <xdr:rowOff>0</xdr:rowOff>
    </xdr:from>
    <xdr:to>
      <xdr:col>83</xdr:col>
      <xdr:colOff>0</xdr:colOff>
      <xdr:row>23</xdr:row>
      <xdr:rowOff>0</xdr:rowOff>
    </xdr:to>
    <xdr:cxnSp macro="">
      <xdr:nvCxnSpPr>
        <xdr:cNvPr id="141" name="Straight Arrow Connector 140"/>
        <xdr:cNvCxnSpPr/>
      </xdr:nvCxnSpPr>
      <xdr:spPr>
        <a:xfrm>
          <a:off x="210845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21</xdr:row>
      <xdr:rowOff>0</xdr:rowOff>
    </xdr:from>
    <xdr:to>
      <xdr:col>83</xdr:col>
      <xdr:colOff>0</xdr:colOff>
      <xdr:row>21</xdr:row>
      <xdr:rowOff>0</xdr:rowOff>
    </xdr:to>
    <xdr:cxnSp macro="">
      <xdr:nvCxnSpPr>
        <xdr:cNvPr id="142" name="Straight Arrow Connector 141"/>
        <xdr:cNvCxnSpPr/>
      </xdr:nvCxnSpPr>
      <xdr:spPr>
        <a:xfrm>
          <a:off x="210845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19</xdr:row>
      <xdr:rowOff>0</xdr:rowOff>
    </xdr:from>
    <xdr:to>
      <xdr:col>83</xdr:col>
      <xdr:colOff>0</xdr:colOff>
      <xdr:row>19</xdr:row>
      <xdr:rowOff>0</xdr:rowOff>
    </xdr:to>
    <xdr:cxnSp macro="">
      <xdr:nvCxnSpPr>
        <xdr:cNvPr id="143" name="Straight Arrow Connector 142"/>
        <xdr:cNvCxnSpPr/>
      </xdr:nvCxnSpPr>
      <xdr:spPr>
        <a:xfrm>
          <a:off x="210845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12</xdr:row>
      <xdr:rowOff>0</xdr:rowOff>
    </xdr:from>
    <xdr:to>
      <xdr:col>83</xdr:col>
      <xdr:colOff>0</xdr:colOff>
      <xdr:row>12</xdr:row>
      <xdr:rowOff>0</xdr:rowOff>
    </xdr:to>
    <xdr:cxnSp macro="">
      <xdr:nvCxnSpPr>
        <xdr:cNvPr id="144" name="Straight Arrow Connector 143"/>
        <xdr:cNvCxnSpPr/>
      </xdr:nvCxnSpPr>
      <xdr:spPr>
        <a:xfrm>
          <a:off x="210845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10</xdr:row>
      <xdr:rowOff>0</xdr:rowOff>
    </xdr:from>
    <xdr:to>
      <xdr:col>83</xdr:col>
      <xdr:colOff>0</xdr:colOff>
      <xdr:row>10</xdr:row>
      <xdr:rowOff>0</xdr:rowOff>
    </xdr:to>
    <xdr:cxnSp macro="">
      <xdr:nvCxnSpPr>
        <xdr:cNvPr id="145" name="Straight Arrow Connector 144"/>
        <xdr:cNvCxnSpPr/>
      </xdr:nvCxnSpPr>
      <xdr:spPr>
        <a:xfrm>
          <a:off x="210845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23</xdr:row>
      <xdr:rowOff>0</xdr:rowOff>
    </xdr:from>
    <xdr:to>
      <xdr:col>86</xdr:col>
      <xdr:colOff>0</xdr:colOff>
      <xdr:row>23</xdr:row>
      <xdr:rowOff>0</xdr:rowOff>
    </xdr:to>
    <xdr:cxnSp macro="">
      <xdr:nvCxnSpPr>
        <xdr:cNvPr id="146" name="Straight Arrow Connector 145"/>
        <xdr:cNvCxnSpPr/>
      </xdr:nvCxnSpPr>
      <xdr:spPr>
        <a:xfrm>
          <a:off x="217246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21</xdr:row>
      <xdr:rowOff>0</xdr:rowOff>
    </xdr:from>
    <xdr:to>
      <xdr:col>86</xdr:col>
      <xdr:colOff>0</xdr:colOff>
      <xdr:row>21</xdr:row>
      <xdr:rowOff>0</xdr:rowOff>
    </xdr:to>
    <xdr:cxnSp macro="">
      <xdr:nvCxnSpPr>
        <xdr:cNvPr id="147" name="Straight Arrow Connector 146"/>
        <xdr:cNvCxnSpPr/>
      </xdr:nvCxnSpPr>
      <xdr:spPr>
        <a:xfrm>
          <a:off x="217246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19</xdr:row>
      <xdr:rowOff>0</xdr:rowOff>
    </xdr:from>
    <xdr:to>
      <xdr:col>86</xdr:col>
      <xdr:colOff>0</xdr:colOff>
      <xdr:row>19</xdr:row>
      <xdr:rowOff>0</xdr:rowOff>
    </xdr:to>
    <xdr:cxnSp macro="">
      <xdr:nvCxnSpPr>
        <xdr:cNvPr id="148" name="Straight Arrow Connector 147"/>
        <xdr:cNvCxnSpPr/>
      </xdr:nvCxnSpPr>
      <xdr:spPr>
        <a:xfrm>
          <a:off x="217246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12</xdr:row>
      <xdr:rowOff>0</xdr:rowOff>
    </xdr:from>
    <xdr:to>
      <xdr:col>86</xdr:col>
      <xdr:colOff>0</xdr:colOff>
      <xdr:row>12</xdr:row>
      <xdr:rowOff>0</xdr:rowOff>
    </xdr:to>
    <xdr:cxnSp macro="">
      <xdr:nvCxnSpPr>
        <xdr:cNvPr id="149" name="Straight Arrow Connector 148"/>
        <xdr:cNvCxnSpPr/>
      </xdr:nvCxnSpPr>
      <xdr:spPr>
        <a:xfrm>
          <a:off x="217246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10</xdr:row>
      <xdr:rowOff>0</xdr:rowOff>
    </xdr:from>
    <xdr:to>
      <xdr:col>86</xdr:col>
      <xdr:colOff>0</xdr:colOff>
      <xdr:row>10</xdr:row>
      <xdr:rowOff>0</xdr:rowOff>
    </xdr:to>
    <xdr:cxnSp macro="">
      <xdr:nvCxnSpPr>
        <xdr:cNvPr id="150" name="Straight Arrow Connector 149"/>
        <xdr:cNvCxnSpPr/>
      </xdr:nvCxnSpPr>
      <xdr:spPr>
        <a:xfrm>
          <a:off x="217246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23</xdr:row>
      <xdr:rowOff>0</xdr:rowOff>
    </xdr:from>
    <xdr:to>
      <xdr:col>87</xdr:col>
      <xdr:colOff>0</xdr:colOff>
      <xdr:row>23</xdr:row>
      <xdr:rowOff>0</xdr:rowOff>
    </xdr:to>
    <xdr:cxnSp macro="">
      <xdr:nvCxnSpPr>
        <xdr:cNvPr id="151" name="Straight Arrow Connector 150"/>
        <xdr:cNvCxnSpPr/>
      </xdr:nvCxnSpPr>
      <xdr:spPr>
        <a:xfrm>
          <a:off x="219379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21</xdr:row>
      <xdr:rowOff>0</xdr:rowOff>
    </xdr:from>
    <xdr:to>
      <xdr:col>87</xdr:col>
      <xdr:colOff>0</xdr:colOff>
      <xdr:row>21</xdr:row>
      <xdr:rowOff>0</xdr:rowOff>
    </xdr:to>
    <xdr:cxnSp macro="">
      <xdr:nvCxnSpPr>
        <xdr:cNvPr id="152" name="Straight Arrow Connector 151"/>
        <xdr:cNvCxnSpPr/>
      </xdr:nvCxnSpPr>
      <xdr:spPr>
        <a:xfrm>
          <a:off x="219379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19</xdr:row>
      <xdr:rowOff>0</xdr:rowOff>
    </xdr:from>
    <xdr:to>
      <xdr:col>87</xdr:col>
      <xdr:colOff>0</xdr:colOff>
      <xdr:row>19</xdr:row>
      <xdr:rowOff>0</xdr:rowOff>
    </xdr:to>
    <xdr:cxnSp macro="">
      <xdr:nvCxnSpPr>
        <xdr:cNvPr id="153" name="Straight Arrow Connector 152"/>
        <xdr:cNvCxnSpPr/>
      </xdr:nvCxnSpPr>
      <xdr:spPr>
        <a:xfrm>
          <a:off x="219379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12</xdr:row>
      <xdr:rowOff>0</xdr:rowOff>
    </xdr:from>
    <xdr:to>
      <xdr:col>87</xdr:col>
      <xdr:colOff>0</xdr:colOff>
      <xdr:row>12</xdr:row>
      <xdr:rowOff>0</xdr:rowOff>
    </xdr:to>
    <xdr:cxnSp macro="">
      <xdr:nvCxnSpPr>
        <xdr:cNvPr id="154" name="Straight Arrow Connector 153"/>
        <xdr:cNvCxnSpPr/>
      </xdr:nvCxnSpPr>
      <xdr:spPr>
        <a:xfrm>
          <a:off x="219379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10</xdr:row>
      <xdr:rowOff>0</xdr:rowOff>
    </xdr:from>
    <xdr:to>
      <xdr:col>87</xdr:col>
      <xdr:colOff>0</xdr:colOff>
      <xdr:row>10</xdr:row>
      <xdr:rowOff>0</xdr:rowOff>
    </xdr:to>
    <xdr:cxnSp macro="">
      <xdr:nvCxnSpPr>
        <xdr:cNvPr id="155" name="Straight Arrow Connector 154"/>
        <xdr:cNvCxnSpPr/>
      </xdr:nvCxnSpPr>
      <xdr:spPr>
        <a:xfrm>
          <a:off x="219379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23</xdr:row>
      <xdr:rowOff>0</xdr:rowOff>
    </xdr:from>
    <xdr:to>
      <xdr:col>88</xdr:col>
      <xdr:colOff>0</xdr:colOff>
      <xdr:row>23</xdr:row>
      <xdr:rowOff>0</xdr:rowOff>
    </xdr:to>
    <xdr:cxnSp macro="">
      <xdr:nvCxnSpPr>
        <xdr:cNvPr id="156" name="Straight Arrow Connector 155"/>
        <xdr:cNvCxnSpPr/>
      </xdr:nvCxnSpPr>
      <xdr:spPr>
        <a:xfrm>
          <a:off x="221513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21</xdr:row>
      <xdr:rowOff>0</xdr:rowOff>
    </xdr:from>
    <xdr:to>
      <xdr:col>88</xdr:col>
      <xdr:colOff>0</xdr:colOff>
      <xdr:row>21</xdr:row>
      <xdr:rowOff>0</xdr:rowOff>
    </xdr:to>
    <xdr:cxnSp macro="">
      <xdr:nvCxnSpPr>
        <xdr:cNvPr id="157" name="Straight Arrow Connector 156"/>
        <xdr:cNvCxnSpPr/>
      </xdr:nvCxnSpPr>
      <xdr:spPr>
        <a:xfrm>
          <a:off x="221513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19</xdr:row>
      <xdr:rowOff>0</xdr:rowOff>
    </xdr:from>
    <xdr:to>
      <xdr:col>88</xdr:col>
      <xdr:colOff>0</xdr:colOff>
      <xdr:row>19</xdr:row>
      <xdr:rowOff>0</xdr:rowOff>
    </xdr:to>
    <xdr:cxnSp macro="">
      <xdr:nvCxnSpPr>
        <xdr:cNvPr id="158" name="Straight Arrow Connector 157"/>
        <xdr:cNvCxnSpPr/>
      </xdr:nvCxnSpPr>
      <xdr:spPr>
        <a:xfrm>
          <a:off x="221513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12</xdr:row>
      <xdr:rowOff>0</xdr:rowOff>
    </xdr:from>
    <xdr:to>
      <xdr:col>88</xdr:col>
      <xdr:colOff>0</xdr:colOff>
      <xdr:row>12</xdr:row>
      <xdr:rowOff>0</xdr:rowOff>
    </xdr:to>
    <xdr:cxnSp macro="">
      <xdr:nvCxnSpPr>
        <xdr:cNvPr id="159" name="Straight Arrow Connector 158"/>
        <xdr:cNvCxnSpPr/>
      </xdr:nvCxnSpPr>
      <xdr:spPr>
        <a:xfrm>
          <a:off x="221513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10</xdr:row>
      <xdr:rowOff>0</xdr:rowOff>
    </xdr:from>
    <xdr:to>
      <xdr:col>88</xdr:col>
      <xdr:colOff>0</xdr:colOff>
      <xdr:row>10</xdr:row>
      <xdr:rowOff>0</xdr:rowOff>
    </xdr:to>
    <xdr:cxnSp macro="">
      <xdr:nvCxnSpPr>
        <xdr:cNvPr id="160" name="Straight Arrow Connector 159"/>
        <xdr:cNvCxnSpPr/>
      </xdr:nvCxnSpPr>
      <xdr:spPr>
        <a:xfrm>
          <a:off x="221513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23</xdr:row>
      <xdr:rowOff>0</xdr:rowOff>
    </xdr:from>
    <xdr:to>
      <xdr:col>89</xdr:col>
      <xdr:colOff>0</xdr:colOff>
      <xdr:row>23</xdr:row>
      <xdr:rowOff>0</xdr:rowOff>
    </xdr:to>
    <xdr:cxnSp macro="">
      <xdr:nvCxnSpPr>
        <xdr:cNvPr id="161" name="Straight Arrow Connector 160"/>
        <xdr:cNvCxnSpPr/>
      </xdr:nvCxnSpPr>
      <xdr:spPr>
        <a:xfrm>
          <a:off x="223647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21</xdr:row>
      <xdr:rowOff>0</xdr:rowOff>
    </xdr:from>
    <xdr:to>
      <xdr:col>89</xdr:col>
      <xdr:colOff>0</xdr:colOff>
      <xdr:row>21</xdr:row>
      <xdr:rowOff>0</xdr:rowOff>
    </xdr:to>
    <xdr:cxnSp macro="">
      <xdr:nvCxnSpPr>
        <xdr:cNvPr id="162" name="Straight Arrow Connector 161"/>
        <xdr:cNvCxnSpPr/>
      </xdr:nvCxnSpPr>
      <xdr:spPr>
        <a:xfrm>
          <a:off x="223647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19</xdr:row>
      <xdr:rowOff>0</xdr:rowOff>
    </xdr:from>
    <xdr:to>
      <xdr:col>89</xdr:col>
      <xdr:colOff>0</xdr:colOff>
      <xdr:row>19</xdr:row>
      <xdr:rowOff>0</xdr:rowOff>
    </xdr:to>
    <xdr:cxnSp macro="">
      <xdr:nvCxnSpPr>
        <xdr:cNvPr id="163" name="Straight Arrow Connector 162"/>
        <xdr:cNvCxnSpPr/>
      </xdr:nvCxnSpPr>
      <xdr:spPr>
        <a:xfrm>
          <a:off x="223647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12</xdr:row>
      <xdr:rowOff>0</xdr:rowOff>
    </xdr:from>
    <xdr:to>
      <xdr:col>89</xdr:col>
      <xdr:colOff>0</xdr:colOff>
      <xdr:row>12</xdr:row>
      <xdr:rowOff>0</xdr:rowOff>
    </xdr:to>
    <xdr:cxnSp macro="">
      <xdr:nvCxnSpPr>
        <xdr:cNvPr id="164" name="Straight Arrow Connector 163"/>
        <xdr:cNvCxnSpPr/>
      </xdr:nvCxnSpPr>
      <xdr:spPr>
        <a:xfrm>
          <a:off x="223647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10</xdr:row>
      <xdr:rowOff>0</xdr:rowOff>
    </xdr:from>
    <xdr:to>
      <xdr:col>89</xdr:col>
      <xdr:colOff>0</xdr:colOff>
      <xdr:row>10</xdr:row>
      <xdr:rowOff>0</xdr:rowOff>
    </xdr:to>
    <xdr:cxnSp macro="">
      <xdr:nvCxnSpPr>
        <xdr:cNvPr id="165" name="Straight Arrow Connector 164"/>
        <xdr:cNvCxnSpPr/>
      </xdr:nvCxnSpPr>
      <xdr:spPr>
        <a:xfrm>
          <a:off x="223647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23</xdr:row>
      <xdr:rowOff>0</xdr:rowOff>
    </xdr:from>
    <xdr:to>
      <xdr:col>91</xdr:col>
      <xdr:colOff>0</xdr:colOff>
      <xdr:row>23</xdr:row>
      <xdr:rowOff>0</xdr:rowOff>
    </xdr:to>
    <xdr:cxnSp macro="">
      <xdr:nvCxnSpPr>
        <xdr:cNvPr id="166" name="Straight Arrow Connector 165"/>
        <xdr:cNvCxnSpPr/>
      </xdr:nvCxnSpPr>
      <xdr:spPr>
        <a:xfrm>
          <a:off x="227914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21</xdr:row>
      <xdr:rowOff>0</xdr:rowOff>
    </xdr:from>
    <xdr:to>
      <xdr:col>91</xdr:col>
      <xdr:colOff>0</xdr:colOff>
      <xdr:row>21</xdr:row>
      <xdr:rowOff>0</xdr:rowOff>
    </xdr:to>
    <xdr:cxnSp macro="">
      <xdr:nvCxnSpPr>
        <xdr:cNvPr id="167" name="Straight Arrow Connector 166"/>
        <xdr:cNvCxnSpPr/>
      </xdr:nvCxnSpPr>
      <xdr:spPr>
        <a:xfrm>
          <a:off x="227914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19</xdr:row>
      <xdr:rowOff>0</xdr:rowOff>
    </xdr:from>
    <xdr:to>
      <xdr:col>91</xdr:col>
      <xdr:colOff>0</xdr:colOff>
      <xdr:row>19</xdr:row>
      <xdr:rowOff>0</xdr:rowOff>
    </xdr:to>
    <xdr:cxnSp macro="">
      <xdr:nvCxnSpPr>
        <xdr:cNvPr id="168" name="Straight Arrow Connector 167"/>
        <xdr:cNvCxnSpPr/>
      </xdr:nvCxnSpPr>
      <xdr:spPr>
        <a:xfrm>
          <a:off x="227914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12</xdr:row>
      <xdr:rowOff>0</xdr:rowOff>
    </xdr:from>
    <xdr:to>
      <xdr:col>91</xdr:col>
      <xdr:colOff>0</xdr:colOff>
      <xdr:row>12</xdr:row>
      <xdr:rowOff>0</xdr:rowOff>
    </xdr:to>
    <xdr:cxnSp macro="">
      <xdr:nvCxnSpPr>
        <xdr:cNvPr id="169" name="Straight Arrow Connector 168"/>
        <xdr:cNvCxnSpPr/>
      </xdr:nvCxnSpPr>
      <xdr:spPr>
        <a:xfrm>
          <a:off x="227914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10</xdr:row>
      <xdr:rowOff>0</xdr:rowOff>
    </xdr:from>
    <xdr:to>
      <xdr:col>91</xdr:col>
      <xdr:colOff>0</xdr:colOff>
      <xdr:row>10</xdr:row>
      <xdr:rowOff>0</xdr:rowOff>
    </xdr:to>
    <xdr:cxnSp macro="">
      <xdr:nvCxnSpPr>
        <xdr:cNvPr id="170" name="Straight Arrow Connector 169"/>
        <xdr:cNvCxnSpPr/>
      </xdr:nvCxnSpPr>
      <xdr:spPr>
        <a:xfrm>
          <a:off x="227914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23</xdr:row>
      <xdr:rowOff>0</xdr:rowOff>
    </xdr:from>
    <xdr:to>
      <xdr:col>94</xdr:col>
      <xdr:colOff>0</xdr:colOff>
      <xdr:row>23</xdr:row>
      <xdr:rowOff>0</xdr:rowOff>
    </xdr:to>
    <xdr:cxnSp macro="">
      <xdr:nvCxnSpPr>
        <xdr:cNvPr id="171" name="Straight Arrow Connector 170"/>
        <xdr:cNvCxnSpPr/>
      </xdr:nvCxnSpPr>
      <xdr:spPr>
        <a:xfrm>
          <a:off x="234315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21</xdr:row>
      <xdr:rowOff>0</xdr:rowOff>
    </xdr:from>
    <xdr:to>
      <xdr:col>94</xdr:col>
      <xdr:colOff>0</xdr:colOff>
      <xdr:row>21</xdr:row>
      <xdr:rowOff>0</xdr:rowOff>
    </xdr:to>
    <xdr:cxnSp macro="">
      <xdr:nvCxnSpPr>
        <xdr:cNvPr id="172" name="Straight Arrow Connector 171"/>
        <xdr:cNvCxnSpPr/>
      </xdr:nvCxnSpPr>
      <xdr:spPr>
        <a:xfrm>
          <a:off x="234315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19</xdr:row>
      <xdr:rowOff>0</xdr:rowOff>
    </xdr:from>
    <xdr:to>
      <xdr:col>94</xdr:col>
      <xdr:colOff>0</xdr:colOff>
      <xdr:row>19</xdr:row>
      <xdr:rowOff>0</xdr:rowOff>
    </xdr:to>
    <xdr:cxnSp macro="">
      <xdr:nvCxnSpPr>
        <xdr:cNvPr id="173" name="Straight Arrow Connector 172"/>
        <xdr:cNvCxnSpPr/>
      </xdr:nvCxnSpPr>
      <xdr:spPr>
        <a:xfrm>
          <a:off x="234315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12</xdr:row>
      <xdr:rowOff>0</xdr:rowOff>
    </xdr:from>
    <xdr:to>
      <xdr:col>94</xdr:col>
      <xdr:colOff>0</xdr:colOff>
      <xdr:row>12</xdr:row>
      <xdr:rowOff>0</xdr:rowOff>
    </xdr:to>
    <xdr:cxnSp macro="">
      <xdr:nvCxnSpPr>
        <xdr:cNvPr id="174" name="Straight Arrow Connector 173"/>
        <xdr:cNvCxnSpPr/>
      </xdr:nvCxnSpPr>
      <xdr:spPr>
        <a:xfrm>
          <a:off x="234315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10</xdr:row>
      <xdr:rowOff>0</xdr:rowOff>
    </xdr:from>
    <xdr:to>
      <xdr:col>94</xdr:col>
      <xdr:colOff>0</xdr:colOff>
      <xdr:row>10</xdr:row>
      <xdr:rowOff>0</xdr:rowOff>
    </xdr:to>
    <xdr:cxnSp macro="">
      <xdr:nvCxnSpPr>
        <xdr:cNvPr id="175" name="Straight Arrow Connector 174"/>
        <xdr:cNvCxnSpPr/>
      </xdr:nvCxnSpPr>
      <xdr:spPr>
        <a:xfrm>
          <a:off x="234315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23</xdr:row>
      <xdr:rowOff>0</xdr:rowOff>
    </xdr:from>
    <xdr:to>
      <xdr:col>95</xdr:col>
      <xdr:colOff>0</xdr:colOff>
      <xdr:row>23</xdr:row>
      <xdr:rowOff>0</xdr:rowOff>
    </xdr:to>
    <xdr:cxnSp macro="">
      <xdr:nvCxnSpPr>
        <xdr:cNvPr id="176" name="Straight Arrow Connector 175"/>
        <xdr:cNvCxnSpPr/>
      </xdr:nvCxnSpPr>
      <xdr:spPr>
        <a:xfrm>
          <a:off x="236448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21</xdr:row>
      <xdr:rowOff>0</xdr:rowOff>
    </xdr:from>
    <xdr:to>
      <xdr:col>95</xdr:col>
      <xdr:colOff>0</xdr:colOff>
      <xdr:row>21</xdr:row>
      <xdr:rowOff>0</xdr:rowOff>
    </xdr:to>
    <xdr:cxnSp macro="">
      <xdr:nvCxnSpPr>
        <xdr:cNvPr id="177" name="Straight Arrow Connector 176"/>
        <xdr:cNvCxnSpPr/>
      </xdr:nvCxnSpPr>
      <xdr:spPr>
        <a:xfrm>
          <a:off x="236448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19</xdr:row>
      <xdr:rowOff>0</xdr:rowOff>
    </xdr:from>
    <xdr:to>
      <xdr:col>95</xdr:col>
      <xdr:colOff>0</xdr:colOff>
      <xdr:row>19</xdr:row>
      <xdr:rowOff>0</xdr:rowOff>
    </xdr:to>
    <xdr:cxnSp macro="">
      <xdr:nvCxnSpPr>
        <xdr:cNvPr id="178" name="Straight Arrow Connector 177"/>
        <xdr:cNvCxnSpPr/>
      </xdr:nvCxnSpPr>
      <xdr:spPr>
        <a:xfrm>
          <a:off x="236448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12</xdr:row>
      <xdr:rowOff>0</xdr:rowOff>
    </xdr:from>
    <xdr:to>
      <xdr:col>95</xdr:col>
      <xdr:colOff>0</xdr:colOff>
      <xdr:row>12</xdr:row>
      <xdr:rowOff>0</xdr:rowOff>
    </xdr:to>
    <xdr:cxnSp macro="">
      <xdr:nvCxnSpPr>
        <xdr:cNvPr id="179" name="Straight Arrow Connector 178"/>
        <xdr:cNvCxnSpPr/>
      </xdr:nvCxnSpPr>
      <xdr:spPr>
        <a:xfrm>
          <a:off x="236448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10</xdr:row>
      <xdr:rowOff>0</xdr:rowOff>
    </xdr:from>
    <xdr:to>
      <xdr:col>95</xdr:col>
      <xdr:colOff>0</xdr:colOff>
      <xdr:row>10</xdr:row>
      <xdr:rowOff>0</xdr:rowOff>
    </xdr:to>
    <xdr:cxnSp macro="">
      <xdr:nvCxnSpPr>
        <xdr:cNvPr id="180" name="Straight Arrow Connector 179"/>
        <xdr:cNvCxnSpPr/>
      </xdr:nvCxnSpPr>
      <xdr:spPr>
        <a:xfrm>
          <a:off x="236448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23</xdr:row>
      <xdr:rowOff>0</xdr:rowOff>
    </xdr:from>
    <xdr:to>
      <xdr:col>96</xdr:col>
      <xdr:colOff>0</xdr:colOff>
      <xdr:row>23</xdr:row>
      <xdr:rowOff>0</xdr:rowOff>
    </xdr:to>
    <xdr:cxnSp macro="">
      <xdr:nvCxnSpPr>
        <xdr:cNvPr id="181" name="Straight Arrow Connector 180"/>
        <xdr:cNvCxnSpPr/>
      </xdr:nvCxnSpPr>
      <xdr:spPr>
        <a:xfrm>
          <a:off x="23858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21</xdr:row>
      <xdr:rowOff>0</xdr:rowOff>
    </xdr:from>
    <xdr:to>
      <xdr:col>96</xdr:col>
      <xdr:colOff>0</xdr:colOff>
      <xdr:row>21</xdr:row>
      <xdr:rowOff>0</xdr:rowOff>
    </xdr:to>
    <xdr:cxnSp macro="">
      <xdr:nvCxnSpPr>
        <xdr:cNvPr id="182" name="Straight Arrow Connector 181"/>
        <xdr:cNvCxnSpPr/>
      </xdr:nvCxnSpPr>
      <xdr:spPr>
        <a:xfrm>
          <a:off x="23858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19</xdr:row>
      <xdr:rowOff>0</xdr:rowOff>
    </xdr:from>
    <xdr:to>
      <xdr:col>96</xdr:col>
      <xdr:colOff>0</xdr:colOff>
      <xdr:row>19</xdr:row>
      <xdr:rowOff>0</xdr:rowOff>
    </xdr:to>
    <xdr:cxnSp macro="">
      <xdr:nvCxnSpPr>
        <xdr:cNvPr id="183" name="Straight Arrow Connector 182"/>
        <xdr:cNvCxnSpPr/>
      </xdr:nvCxnSpPr>
      <xdr:spPr>
        <a:xfrm>
          <a:off x="23858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12</xdr:row>
      <xdr:rowOff>0</xdr:rowOff>
    </xdr:from>
    <xdr:to>
      <xdr:col>96</xdr:col>
      <xdr:colOff>0</xdr:colOff>
      <xdr:row>12</xdr:row>
      <xdr:rowOff>0</xdr:rowOff>
    </xdr:to>
    <xdr:cxnSp macro="">
      <xdr:nvCxnSpPr>
        <xdr:cNvPr id="184" name="Straight Arrow Connector 183"/>
        <xdr:cNvCxnSpPr/>
      </xdr:nvCxnSpPr>
      <xdr:spPr>
        <a:xfrm>
          <a:off x="23858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10</xdr:row>
      <xdr:rowOff>0</xdr:rowOff>
    </xdr:from>
    <xdr:to>
      <xdr:col>96</xdr:col>
      <xdr:colOff>0</xdr:colOff>
      <xdr:row>10</xdr:row>
      <xdr:rowOff>0</xdr:rowOff>
    </xdr:to>
    <xdr:cxnSp macro="">
      <xdr:nvCxnSpPr>
        <xdr:cNvPr id="185" name="Straight Arrow Connector 184"/>
        <xdr:cNvCxnSpPr/>
      </xdr:nvCxnSpPr>
      <xdr:spPr>
        <a:xfrm>
          <a:off x="23858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23</xdr:row>
      <xdr:rowOff>0</xdr:rowOff>
    </xdr:from>
    <xdr:to>
      <xdr:col>97</xdr:col>
      <xdr:colOff>0</xdr:colOff>
      <xdr:row>23</xdr:row>
      <xdr:rowOff>0</xdr:rowOff>
    </xdr:to>
    <xdr:cxnSp macro="">
      <xdr:nvCxnSpPr>
        <xdr:cNvPr id="186" name="Straight Arrow Connector 185"/>
        <xdr:cNvCxnSpPr/>
      </xdr:nvCxnSpPr>
      <xdr:spPr>
        <a:xfrm>
          <a:off x="240715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21</xdr:row>
      <xdr:rowOff>0</xdr:rowOff>
    </xdr:from>
    <xdr:to>
      <xdr:col>97</xdr:col>
      <xdr:colOff>0</xdr:colOff>
      <xdr:row>21</xdr:row>
      <xdr:rowOff>0</xdr:rowOff>
    </xdr:to>
    <xdr:cxnSp macro="">
      <xdr:nvCxnSpPr>
        <xdr:cNvPr id="187" name="Straight Arrow Connector 186"/>
        <xdr:cNvCxnSpPr/>
      </xdr:nvCxnSpPr>
      <xdr:spPr>
        <a:xfrm>
          <a:off x="240715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19</xdr:row>
      <xdr:rowOff>0</xdr:rowOff>
    </xdr:from>
    <xdr:to>
      <xdr:col>97</xdr:col>
      <xdr:colOff>0</xdr:colOff>
      <xdr:row>19</xdr:row>
      <xdr:rowOff>0</xdr:rowOff>
    </xdr:to>
    <xdr:cxnSp macro="">
      <xdr:nvCxnSpPr>
        <xdr:cNvPr id="188" name="Straight Arrow Connector 187"/>
        <xdr:cNvCxnSpPr/>
      </xdr:nvCxnSpPr>
      <xdr:spPr>
        <a:xfrm>
          <a:off x="240715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12</xdr:row>
      <xdr:rowOff>0</xdr:rowOff>
    </xdr:from>
    <xdr:to>
      <xdr:col>97</xdr:col>
      <xdr:colOff>0</xdr:colOff>
      <xdr:row>12</xdr:row>
      <xdr:rowOff>0</xdr:rowOff>
    </xdr:to>
    <xdr:cxnSp macro="">
      <xdr:nvCxnSpPr>
        <xdr:cNvPr id="189" name="Straight Arrow Connector 188"/>
        <xdr:cNvCxnSpPr/>
      </xdr:nvCxnSpPr>
      <xdr:spPr>
        <a:xfrm>
          <a:off x="240715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10</xdr:row>
      <xdr:rowOff>0</xdr:rowOff>
    </xdr:from>
    <xdr:to>
      <xdr:col>97</xdr:col>
      <xdr:colOff>0</xdr:colOff>
      <xdr:row>10</xdr:row>
      <xdr:rowOff>0</xdr:rowOff>
    </xdr:to>
    <xdr:cxnSp macro="">
      <xdr:nvCxnSpPr>
        <xdr:cNvPr id="190" name="Straight Arrow Connector 189"/>
        <xdr:cNvCxnSpPr/>
      </xdr:nvCxnSpPr>
      <xdr:spPr>
        <a:xfrm>
          <a:off x="240715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23</xdr:row>
      <xdr:rowOff>0</xdr:rowOff>
    </xdr:from>
    <xdr:to>
      <xdr:col>99</xdr:col>
      <xdr:colOff>0</xdr:colOff>
      <xdr:row>23</xdr:row>
      <xdr:rowOff>0</xdr:rowOff>
    </xdr:to>
    <xdr:cxnSp macro="">
      <xdr:nvCxnSpPr>
        <xdr:cNvPr id="191" name="Straight Arrow Connector 190"/>
        <xdr:cNvCxnSpPr/>
      </xdr:nvCxnSpPr>
      <xdr:spPr>
        <a:xfrm>
          <a:off x="244983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21</xdr:row>
      <xdr:rowOff>0</xdr:rowOff>
    </xdr:from>
    <xdr:to>
      <xdr:col>99</xdr:col>
      <xdr:colOff>0</xdr:colOff>
      <xdr:row>21</xdr:row>
      <xdr:rowOff>0</xdr:rowOff>
    </xdr:to>
    <xdr:cxnSp macro="">
      <xdr:nvCxnSpPr>
        <xdr:cNvPr id="192" name="Straight Arrow Connector 191"/>
        <xdr:cNvCxnSpPr/>
      </xdr:nvCxnSpPr>
      <xdr:spPr>
        <a:xfrm>
          <a:off x="244983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19</xdr:row>
      <xdr:rowOff>0</xdr:rowOff>
    </xdr:from>
    <xdr:to>
      <xdr:col>99</xdr:col>
      <xdr:colOff>0</xdr:colOff>
      <xdr:row>19</xdr:row>
      <xdr:rowOff>0</xdr:rowOff>
    </xdr:to>
    <xdr:cxnSp macro="">
      <xdr:nvCxnSpPr>
        <xdr:cNvPr id="193" name="Straight Arrow Connector 192"/>
        <xdr:cNvCxnSpPr/>
      </xdr:nvCxnSpPr>
      <xdr:spPr>
        <a:xfrm>
          <a:off x="244983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12</xdr:row>
      <xdr:rowOff>0</xdr:rowOff>
    </xdr:from>
    <xdr:to>
      <xdr:col>99</xdr:col>
      <xdr:colOff>0</xdr:colOff>
      <xdr:row>12</xdr:row>
      <xdr:rowOff>0</xdr:rowOff>
    </xdr:to>
    <xdr:cxnSp macro="">
      <xdr:nvCxnSpPr>
        <xdr:cNvPr id="194" name="Straight Arrow Connector 193"/>
        <xdr:cNvCxnSpPr/>
      </xdr:nvCxnSpPr>
      <xdr:spPr>
        <a:xfrm>
          <a:off x="244983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10</xdr:row>
      <xdr:rowOff>0</xdr:rowOff>
    </xdr:from>
    <xdr:to>
      <xdr:col>99</xdr:col>
      <xdr:colOff>0</xdr:colOff>
      <xdr:row>10</xdr:row>
      <xdr:rowOff>0</xdr:rowOff>
    </xdr:to>
    <xdr:cxnSp macro="">
      <xdr:nvCxnSpPr>
        <xdr:cNvPr id="195" name="Straight Arrow Connector 194"/>
        <xdr:cNvCxnSpPr/>
      </xdr:nvCxnSpPr>
      <xdr:spPr>
        <a:xfrm>
          <a:off x="244983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23</xdr:row>
      <xdr:rowOff>0</xdr:rowOff>
    </xdr:from>
    <xdr:to>
      <xdr:col>78</xdr:col>
      <xdr:colOff>0</xdr:colOff>
      <xdr:row>23</xdr:row>
      <xdr:rowOff>0</xdr:rowOff>
    </xdr:to>
    <xdr:cxnSp macro="">
      <xdr:nvCxnSpPr>
        <xdr:cNvPr id="196" name="Straight Arrow Connector 195"/>
        <xdr:cNvCxnSpPr/>
      </xdr:nvCxnSpPr>
      <xdr:spPr>
        <a:xfrm>
          <a:off x="200177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21</xdr:row>
      <xdr:rowOff>0</xdr:rowOff>
    </xdr:from>
    <xdr:to>
      <xdr:col>78</xdr:col>
      <xdr:colOff>0</xdr:colOff>
      <xdr:row>21</xdr:row>
      <xdr:rowOff>0</xdr:rowOff>
    </xdr:to>
    <xdr:cxnSp macro="">
      <xdr:nvCxnSpPr>
        <xdr:cNvPr id="197" name="Straight Arrow Connector 196"/>
        <xdr:cNvCxnSpPr/>
      </xdr:nvCxnSpPr>
      <xdr:spPr>
        <a:xfrm>
          <a:off x="200177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19</xdr:row>
      <xdr:rowOff>0</xdr:rowOff>
    </xdr:from>
    <xdr:to>
      <xdr:col>78</xdr:col>
      <xdr:colOff>0</xdr:colOff>
      <xdr:row>19</xdr:row>
      <xdr:rowOff>0</xdr:rowOff>
    </xdr:to>
    <xdr:cxnSp macro="">
      <xdr:nvCxnSpPr>
        <xdr:cNvPr id="198" name="Straight Arrow Connector 197"/>
        <xdr:cNvCxnSpPr/>
      </xdr:nvCxnSpPr>
      <xdr:spPr>
        <a:xfrm>
          <a:off x="200177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12</xdr:row>
      <xdr:rowOff>0</xdr:rowOff>
    </xdr:from>
    <xdr:to>
      <xdr:col>78</xdr:col>
      <xdr:colOff>0</xdr:colOff>
      <xdr:row>12</xdr:row>
      <xdr:rowOff>0</xdr:rowOff>
    </xdr:to>
    <xdr:cxnSp macro="">
      <xdr:nvCxnSpPr>
        <xdr:cNvPr id="199" name="Straight Arrow Connector 198"/>
        <xdr:cNvCxnSpPr/>
      </xdr:nvCxnSpPr>
      <xdr:spPr>
        <a:xfrm>
          <a:off x="200177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10</xdr:row>
      <xdr:rowOff>0</xdr:rowOff>
    </xdr:from>
    <xdr:to>
      <xdr:col>78</xdr:col>
      <xdr:colOff>0</xdr:colOff>
      <xdr:row>10</xdr:row>
      <xdr:rowOff>0</xdr:rowOff>
    </xdr:to>
    <xdr:cxnSp macro="">
      <xdr:nvCxnSpPr>
        <xdr:cNvPr id="200" name="Straight Arrow Connector 199"/>
        <xdr:cNvCxnSpPr/>
      </xdr:nvCxnSpPr>
      <xdr:spPr>
        <a:xfrm>
          <a:off x="200177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23</xdr:row>
      <xdr:rowOff>0</xdr:rowOff>
    </xdr:from>
    <xdr:to>
      <xdr:col>79</xdr:col>
      <xdr:colOff>0</xdr:colOff>
      <xdr:row>23</xdr:row>
      <xdr:rowOff>0</xdr:rowOff>
    </xdr:to>
    <xdr:cxnSp macro="">
      <xdr:nvCxnSpPr>
        <xdr:cNvPr id="201" name="Straight Arrow Connector 200"/>
        <xdr:cNvCxnSpPr/>
      </xdr:nvCxnSpPr>
      <xdr:spPr>
        <a:xfrm>
          <a:off x="202311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21</xdr:row>
      <xdr:rowOff>0</xdr:rowOff>
    </xdr:from>
    <xdr:to>
      <xdr:col>79</xdr:col>
      <xdr:colOff>0</xdr:colOff>
      <xdr:row>21</xdr:row>
      <xdr:rowOff>0</xdr:rowOff>
    </xdr:to>
    <xdr:cxnSp macro="">
      <xdr:nvCxnSpPr>
        <xdr:cNvPr id="202" name="Straight Arrow Connector 201"/>
        <xdr:cNvCxnSpPr/>
      </xdr:nvCxnSpPr>
      <xdr:spPr>
        <a:xfrm>
          <a:off x="202311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19</xdr:row>
      <xdr:rowOff>0</xdr:rowOff>
    </xdr:from>
    <xdr:to>
      <xdr:col>79</xdr:col>
      <xdr:colOff>0</xdr:colOff>
      <xdr:row>19</xdr:row>
      <xdr:rowOff>0</xdr:rowOff>
    </xdr:to>
    <xdr:cxnSp macro="">
      <xdr:nvCxnSpPr>
        <xdr:cNvPr id="203" name="Straight Arrow Connector 202"/>
        <xdr:cNvCxnSpPr/>
      </xdr:nvCxnSpPr>
      <xdr:spPr>
        <a:xfrm>
          <a:off x="202311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12</xdr:row>
      <xdr:rowOff>0</xdr:rowOff>
    </xdr:from>
    <xdr:to>
      <xdr:col>79</xdr:col>
      <xdr:colOff>0</xdr:colOff>
      <xdr:row>12</xdr:row>
      <xdr:rowOff>0</xdr:rowOff>
    </xdr:to>
    <xdr:cxnSp macro="">
      <xdr:nvCxnSpPr>
        <xdr:cNvPr id="204" name="Straight Arrow Connector 203"/>
        <xdr:cNvCxnSpPr/>
      </xdr:nvCxnSpPr>
      <xdr:spPr>
        <a:xfrm>
          <a:off x="202311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10</xdr:row>
      <xdr:rowOff>0</xdr:rowOff>
    </xdr:from>
    <xdr:to>
      <xdr:col>79</xdr:col>
      <xdr:colOff>0</xdr:colOff>
      <xdr:row>10</xdr:row>
      <xdr:rowOff>0</xdr:rowOff>
    </xdr:to>
    <xdr:cxnSp macro="">
      <xdr:nvCxnSpPr>
        <xdr:cNvPr id="205" name="Straight Arrow Connector 204"/>
        <xdr:cNvCxnSpPr/>
      </xdr:nvCxnSpPr>
      <xdr:spPr>
        <a:xfrm>
          <a:off x="202311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23</xdr:row>
      <xdr:rowOff>0</xdr:rowOff>
    </xdr:from>
    <xdr:to>
      <xdr:col>80</xdr:col>
      <xdr:colOff>0</xdr:colOff>
      <xdr:row>23</xdr:row>
      <xdr:rowOff>0</xdr:rowOff>
    </xdr:to>
    <xdr:cxnSp macro="">
      <xdr:nvCxnSpPr>
        <xdr:cNvPr id="206" name="Straight Arrow Connector 205"/>
        <xdr:cNvCxnSpPr/>
      </xdr:nvCxnSpPr>
      <xdr:spPr>
        <a:xfrm>
          <a:off x="204444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21</xdr:row>
      <xdr:rowOff>0</xdr:rowOff>
    </xdr:from>
    <xdr:to>
      <xdr:col>80</xdr:col>
      <xdr:colOff>0</xdr:colOff>
      <xdr:row>21</xdr:row>
      <xdr:rowOff>0</xdr:rowOff>
    </xdr:to>
    <xdr:cxnSp macro="">
      <xdr:nvCxnSpPr>
        <xdr:cNvPr id="207" name="Straight Arrow Connector 206"/>
        <xdr:cNvCxnSpPr/>
      </xdr:nvCxnSpPr>
      <xdr:spPr>
        <a:xfrm>
          <a:off x="204444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19</xdr:row>
      <xdr:rowOff>0</xdr:rowOff>
    </xdr:from>
    <xdr:to>
      <xdr:col>80</xdr:col>
      <xdr:colOff>0</xdr:colOff>
      <xdr:row>19</xdr:row>
      <xdr:rowOff>0</xdr:rowOff>
    </xdr:to>
    <xdr:cxnSp macro="">
      <xdr:nvCxnSpPr>
        <xdr:cNvPr id="208" name="Straight Arrow Connector 207"/>
        <xdr:cNvCxnSpPr/>
      </xdr:nvCxnSpPr>
      <xdr:spPr>
        <a:xfrm>
          <a:off x="204444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12</xdr:row>
      <xdr:rowOff>0</xdr:rowOff>
    </xdr:from>
    <xdr:to>
      <xdr:col>80</xdr:col>
      <xdr:colOff>0</xdr:colOff>
      <xdr:row>12</xdr:row>
      <xdr:rowOff>0</xdr:rowOff>
    </xdr:to>
    <xdr:cxnSp macro="">
      <xdr:nvCxnSpPr>
        <xdr:cNvPr id="209" name="Straight Arrow Connector 208"/>
        <xdr:cNvCxnSpPr/>
      </xdr:nvCxnSpPr>
      <xdr:spPr>
        <a:xfrm>
          <a:off x="204444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0</xdr:colOff>
      <xdr:row>10</xdr:row>
      <xdr:rowOff>0</xdr:rowOff>
    </xdr:from>
    <xdr:to>
      <xdr:col>80</xdr:col>
      <xdr:colOff>0</xdr:colOff>
      <xdr:row>10</xdr:row>
      <xdr:rowOff>0</xdr:rowOff>
    </xdr:to>
    <xdr:cxnSp macro="">
      <xdr:nvCxnSpPr>
        <xdr:cNvPr id="210" name="Straight Arrow Connector 209"/>
        <xdr:cNvCxnSpPr/>
      </xdr:nvCxnSpPr>
      <xdr:spPr>
        <a:xfrm>
          <a:off x="204444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23</xdr:row>
      <xdr:rowOff>0</xdr:rowOff>
    </xdr:from>
    <xdr:to>
      <xdr:col>81</xdr:col>
      <xdr:colOff>0</xdr:colOff>
      <xdr:row>23</xdr:row>
      <xdr:rowOff>0</xdr:rowOff>
    </xdr:to>
    <xdr:cxnSp macro="">
      <xdr:nvCxnSpPr>
        <xdr:cNvPr id="211" name="Straight Arrow Connector 210"/>
        <xdr:cNvCxnSpPr/>
      </xdr:nvCxnSpPr>
      <xdr:spPr>
        <a:xfrm>
          <a:off x="206578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21</xdr:row>
      <xdr:rowOff>0</xdr:rowOff>
    </xdr:from>
    <xdr:to>
      <xdr:col>81</xdr:col>
      <xdr:colOff>0</xdr:colOff>
      <xdr:row>21</xdr:row>
      <xdr:rowOff>0</xdr:rowOff>
    </xdr:to>
    <xdr:cxnSp macro="">
      <xdr:nvCxnSpPr>
        <xdr:cNvPr id="212" name="Straight Arrow Connector 211"/>
        <xdr:cNvCxnSpPr/>
      </xdr:nvCxnSpPr>
      <xdr:spPr>
        <a:xfrm>
          <a:off x="206578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19</xdr:row>
      <xdr:rowOff>0</xdr:rowOff>
    </xdr:from>
    <xdr:to>
      <xdr:col>81</xdr:col>
      <xdr:colOff>0</xdr:colOff>
      <xdr:row>19</xdr:row>
      <xdr:rowOff>0</xdr:rowOff>
    </xdr:to>
    <xdr:cxnSp macro="">
      <xdr:nvCxnSpPr>
        <xdr:cNvPr id="213" name="Straight Arrow Connector 212"/>
        <xdr:cNvCxnSpPr/>
      </xdr:nvCxnSpPr>
      <xdr:spPr>
        <a:xfrm>
          <a:off x="206578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12</xdr:row>
      <xdr:rowOff>0</xdr:rowOff>
    </xdr:from>
    <xdr:to>
      <xdr:col>81</xdr:col>
      <xdr:colOff>0</xdr:colOff>
      <xdr:row>12</xdr:row>
      <xdr:rowOff>0</xdr:rowOff>
    </xdr:to>
    <xdr:cxnSp macro="">
      <xdr:nvCxnSpPr>
        <xdr:cNvPr id="214" name="Straight Arrow Connector 213"/>
        <xdr:cNvCxnSpPr/>
      </xdr:nvCxnSpPr>
      <xdr:spPr>
        <a:xfrm>
          <a:off x="206578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0</xdr:colOff>
      <xdr:row>10</xdr:row>
      <xdr:rowOff>0</xdr:rowOff>
    </xdr:from>
    <xdr:to>
      <xdr:col>81</xdr:col>
      <xdr:colOff>0</xdr:colOff>
      <xdr:row>10</xdr:row>
      <xdr:rowOff>0</xdr:rowOff>
    </xdr:to>
    <xdr:cxnSp macro="">
      <xdr:nvCxnSpPr>
        <xdr:cNvPr id="215" name="Straight Arrow Connector 214"/>
        <xdr:cNvCxnSpPr/>
      </xdr:nvCxnSpPr>
      <xdr:spPr>
        <a:xfrm>
          <a:off x="206578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23</xdr:row>
      <xdr:rowOff>0</xdr:rowOff>
    </xdr:from>
    <xdr:to>
      <xdr:col>83</xdr:col>
      <xdr:colOff>0</xdr:colOff>
      <xdr:row>23</xdr:row>
      <xdr:rowOff>0</xdr:rowOff>
    </xdr:to>
    <xdr:cxnSp macro="">
      <xdr:nvCxnSpPr>
        <xdr:cNvPr id="216" name="Straight Arrow Connector 215"/>
        <xdr:cNvCxnSpPr/>
      </xdr:nvCxnSpPr>
      <xdr:spPr>
        <a:xfrm>
          <a:off x="210845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19</xdr:row>
      <xdr:rowOff>0</xdr:rowOff>
    </xdr:from>
    <xdr:to>
      <xdr:col>83</xdr:col>
      <xdr:colOff>0</xdr:colOff>
      <xdr:row>19</xdr:row>
      <xdr:rowOff>0</xdr:rowOff>
    </xdr:to>
    <xdr:cxnSp macro="">
      <xdr:nvCxnSpPr>
        <xdr:cNvPr id="217" name="Straight Arrow Connector 216"/>
        <xdr:cNvCxnSpPr/>
      </xdr:nvCxnSpPr>
      <xdr:spPr>
        <a:xfrm>
          <a:off x="210845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12</xdr:row>
      <xdr:rowOff>0</xdr:rowOff>
    </xdr:from>
    <xdr:to>
      <xdr:col>83</xdr:col>
      <xdr:colOff>0</xdr:colOff>
      <xdr:row>12</xdr:row>
      <xdr:rowOff>0</xdr:rowOff>
    </xdr:to>
    <xdr:cxnSp macro="">
      <xdr:nvCxnSpPr>
        <xdr:cNvPr id="218" name="Straight Arrow Connector 217"/>
        <xdr:cNvCxnSpPr/>
      </xdr:nvCxnSpPr>
      <xdr:spPr>
        <a:xfrm>
          <a:off x="210845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10</xdr:row>
      <xdr:rowOff>0</xdr:rowOff>
    </xdr:from>
    <xdr:to>
      <xdr:col>83</xdr:col>
      <xdr:colOff>0</xdr:colOff>
      <xdr:row>10</xdr:row>
      <xdr:rowOff>0</xdr:rowOff>
    </xdr:to>
    <xdr:cxnSp macro="">
      <xdr:nvCxnSpPr>
        <xdr:cNvPr id="219" name="Straight Arrow Connector 218"/>
        <xdr:cNvCxnSpPr/>
      </xdr:nvCxnSpPr>
      <xdr:spPr>
        <a:xfrm>
          <a:off x="210845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23</xdr:row>
      <xdr:rowOff>0</xdr:rowOff>
    </xdr:from>
    <xdr:to>
      <xdr:col>86</xdr:col>
      <xdr:colOff>0</xdr:colOff>
      <xdr:row>23</xdr:row>
      <xdr:rowOff>0</xdr:rowOff>
    </xdr:to>
    <xdr:cxnSp macro="">
      <xdr:nvCxnSpPr>
        <xdr:cNvPr id="220" name="Straight Arrow Connector 219"/>
        <xdr:cNvCxnSpPr/>
      </xdr:nvCxnSpPr>
      <xdr:spPr>
        <a:xfrm>
          <a:off x="217246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21</xdr:row>
      <xdr:rowOff>0</xdr:rowOff>
    </xdr:from>
    <xdr:to>
      <xdr:col>86</xdr:col>
      <xdr:colOff>0</xdr:colOff>
      <xdr:row>21</xdr:row>
      <xdr:rowOff>0</xdr:rowOff>
    </xdr:to>
    <xdr:cxnSp macro="">
      <xdr:nvCxnSpPr>
        <xdr:cNvPr id="221" name="Straight Arrow Connector 220"/>
        <xdr:cNvCxnSpPr/>
      </xdr:nvCxnSpPr>
      <xdr:spPr>
        <a:xfrm>
          <a:off x="217246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19</xdr:row>
      <xdr:rowOff>0</xdr:rowOff>
    </xdr:from>
    <xdr:to>
      <xdr:col>86</xdr:col>
      <xdr:colOff>0</xdr:colOff>
      <xdr:row>19</xdr:row>
      <xdr:rowOff>0</xdr:rowOff>
    </xdr:to>
    <xdr:cxnSp macro="">
      <xdr:nvCxnSpPr>
        <xdr:cNvPr id="222" name="Straight Arrow Connector 221"/>
        <xdr:cNvCxnSpPr/>
      </xdr:nvCxnSpPr>
      <xdr:spPr>
        <a:xfrm>
          <a:off x="217246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12</xdr:row>
      <xdr:rowOff>0</xdr:rowOff>
    </xdr:from>
    <xdr:to>
      <xdr:col>86</xdr:col>
      <xdr:colOff>0</xdr:colOff>
      <xdr:row>12</xdr:row>
      <xdr:rowOff>0</xdr:rowOff>
    </xdr:to>
    <xdr:cxnSp macro="">
      <xdr:nvCxnSpPr>
        <xdr:cNvPr id="223" name="Straight Arrow Connector 222"/>
        <xdr:cNvCxnSpPr/>
      </xdr:nvCxnSpPr>
      <xdr:spPr>
        <a:xfrm>
          <a:off x="217246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10</xdr:row>
      <xdr:rowOff>0</xdr:rowOff>
    </xdr:from>
    <xdr:to>
      <xdr:col>86</xdr:col>
      <xdr:colOff>0</xdr:colOff>
      <xdr:row>10</xdr:row>
      <xdr:rowOff>0</xdr:rowOff>
    </xdr:to>
    <xdr:cxnSp macro="">
      <xdr:nvCxnSpPr>
        <xdr:cNvPr id="224" name="Straight Arrow Connector 223"/>
        <xdr:cNvCxnSpPr/>
      </xdr:nvCxnSpPr>
      <xdr:spPr>
        <a:xfrm>
          <a:off x="217246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23</xdr:row>
      <xdr:rowOff>0</xdr:rowOff>
    </xdr:from>
    <xdr:to>
      <xdr:col>87</xdr:col>
      <xdr:colOff>0</xdr:colOff>
      <xdr:row>23</xdr:row>
      <xdr:rowOff>0</xdr:rowOff>
    </xdr:to>
    <xdr:cxnSp macro="">
      <xdr:nvCxnSpPr>
        <xdr:cNvPr id="225" name="Straight Arrow Connector 224"/>
        <xdr:cNvCxnSpPr/>
      </xdr:nvCxnSpPr>
      <xdr:spPr>
        <a:xfrm>
          <a:off x="219379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21</xdr:row>
      <xdr:rowOff>0</xdr:rowOff>
    </xdr:from>
    <xdr:to>
      <xdr:col>87</xdr:col>
      <xdr:colOff>0</xdr:colOff>
      <xdr:row>21</xdr:row>
      <xdr:rowOff>0</xdr:rowOff>
    </xdr:to>
    <xdr:cxnSp macro="">
      <xdr:nvCxnSpPr>
        <xdr:cNvPr id="226" name="Straight Arrow Connector 225"/>
        <xdr:cNvCxnSpPr/>
      </xdr:nvCxnSpPr>
      <xdr:spPr>
        <a:xfrm>
          <a:off x="219379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19</xdr:row>
      <xdr:rowOff>0</xdr:rowOff>
    </xdr:from>
    <xdr:to>
      <xdr:col>87</xdr:col>
      <xdr:colOff>0</xdr:colOff>
      <xdr:row>19</xdr:row>
      <xdr:rowOff>0</xdr:rowOff>
    </xdr:to>
    <xdr:cxnSp macro="">
      <xdr:nvCxnSpPr>
        <xdr:cNvPr id="227" name="Straight Arrow Connector 226"/>
        <xdr:cNvCxnSpPr/>
      </xdr:nvCxnSpPr>
      <xdr:spPr>
        <a:xfrm>
          <a:off x="219379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12</xdr:row>
      <xdr:rowOff>0</xdr:rowOff>
    </xdr:from>
    <xdr:to>
      <xdr:col>87</xdr:col>
      <xdr:colOff>0</xdr:colOff>
      <xdr:row>12</xdr:row>
      <xdr:rowOff>0</xdr:rowOff>
    </xdr:to>
    <xdr:cxnSp macro="">
      <xdr:nvCxnSpPr>
        <xdr:cNvPr id="228" name="Straight Arrow Connector 227"/>
        <xdr:cNvCxnSpPr/>
      </xdr:nvCxnSpPr>
      <xdr:spPr>
        <a:xfrm>
          <a:off x="219379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10</xdr:row>
      <xdr:rowOff>0</xdr:rowOff>
    </xdr:from>
    <xdr:to>
      <xdr:col>87</xdr:col>
      <xdr:colOff>0</xdr:colOff>
      <xdr:row>10</xdr:row>
      <xdr:rowOff>0</xdr:rowOff>
    </xdr:to>
    <xdr:cxnSp macro="">
      <xdr:nvCxnSpPr>
        <xdr:cNvPr id="229" name="Straight Arrow Connector 228"/>
        <xdr:cNvCxnSpPr/>
      </xdr:nvCxnSpPr>
      <xdr:spPr>
        <a:xfrm>
          <a:off x="219379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23</xdr:row>
      <xdr:rowOff>0</xdr:rowOff>
    </xdr:from>
    <xdr:to>
      <xdr:col>88</xdr:col>
      <xdr:colOff>0</xdr:colOff>
      <xdr:row>23</xdr:row>
      <xdr:rowOff>0</xdr:rowOff>
    </xdr:to>
    <xdr:cxnSp macro="">
      <xdr:nvCxnSpPr>
        <xdr:cNvPr id="230" name="Straight Arrow Connector 229"/>
        <xdr:cNvCxnSpPr/>
      </xdr:nvCxnSpPr>
      <xdr:spPr>
        <a:xfrm>
          <a:off x="2215134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21</xdr:row>
      <xdr:rowOff>0</xdr:rowOff>
    </xdr:from>
    <xdr:to>
      <xdr:col>88</xdr:col>
      <xdr:colOff>0</xdr:colOff>
      <xdr:row>21</xdr:row>
      <xdr:rowOff>0</xdr:rowOff>
    </xdr:to>
    <xdr:cxnSp macro="">
      <xdr:nvCxnSpPr>
        <xdr:cNvPr id="231" name="Straight Arrow Connector 230"/>
        <xdr:cNvCxnSpPr/>
      </xdr:nvCxnSpPr>
      <xdr:spPr>
        <a:xfrm>
          <a:off x="2215134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19</xdr:row>
      <xdr:rowOff>0</xdr:rowOff>
    </xdr:from>
    <xdr:to>
      <xdr:col>88</xdr:col>
      <xdr:colOff>0</xdr:colOff>
      <xdr:row>19</xdr:row>
      <xdr:rowOff>0</xdr:rowOff>
    </xdr:to>
    <xdr:cxnSp macro="">
      <xdr:nvCxnSpPr>
        <xdr:cNvPr id="232" name="Straight Arrow Connector 231"/>
        <xdr:cNvCxnSpPr/>
      </xdr:nvCxnSpPr>
      <xdr:spPr>
        <a:xfrm>
          <a:off x="2215134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12</xdr:row>
      <xdr:rowOff>0</xdr:rowOff>
    </xdr:from>
    <xdr:to>
      <xdr:col>88</xdr:col>
      <xdr:colOff>0</xdr:colOff>
      <xdr:row>12</xdr:row>
      <xdr:rowOff>0</xdr:rowOff>
    </xdr:to>
    <xdr:cxnSp macro="">
      <xdr:nvCxnSpPr>
        <xdr:cNvPr id="233" name="Straight Arrow Connector 232"/>
        <xdr:cNvCxnSpPr/>
      </xdr:nvCxnSpPr>
      <xdr:spPr>
        <a:xfrm>
          <a:off x="2215134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10</xdr:row>
      <xdr:rowOff>0</xdr:rowOff>
    </xdr:from>
    <xdr:to>
      <xdr:col>88</xdr:col>
      <xdr:colOff>0</xdr:colOff>
      <xdr:row>10</xdr:row>
      <xdr:rowOff>0</xdr:rowOff>
    </xdr:to>
    <xdr:cxnSp macro="">
      <xdr:nvCxnSpPr>
        <xdr:cNvPr id="234" name="Straight Arrow Connector 233"/>
        <xdr:cNvCxnSpPr/>
      </xdr:nvCxnSpPr>
      <xdr:spPr>
        <a:xfrm>
          <a:off x="2215134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23</xdr:row>
      <xdr:rowOff>0</xdr:rowOff>
    </xdr:from>
    <xdr:to>
      <xdr:col>89</xdr:col>
      <xdr:colOff>0</xdr:colOff>
      <xdr:row>23</xdr:row>
      <xdr:rowOff>0</xdr:rowOff>
    </xdr:to>
    <xdr:cxnSp macro="">
      <xdr:nvCxnSpPr>
        <xdr:cNvPr id="235" name="Straight Arrow Connector 234"/>
        <xdr:cNvCxnSpPr/>
      </xdr:nvCxnSpPr>
      <xdr:spPr>
        <a:xfrm>
          <a:off x="223647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21</xdr:row>
      <xdr:rowOff>0</xdr:rowOff>
    </xdr:from>
    <xdr:to>
      <xdr:col>89</xdr:col>
      <xdr:colOff>0</xdr:colOff>
      <xdr:row>21</xdr:row>
      <xdr:rowOff>0</xdr:rowOff>
    </xdr:to>
    <xdr:cxnSp macro="">
      <xdr:nvCxnSpPr>
        <xdr:cNvPr id="236" name="Straight Arrow Connector 235"/>
        <xdr:cNvCxnSpPr/>
      </xdr:nvCxnSpPr>
      <xdr:spPr>
        <a:xfrm>
          <a:off x="223647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19</xdr:row>
      <xdr:rowOff>0</xdr:rowOff>
    </xdr:from>
    <xdr:to>
      <xdr:col>89</xdr:col>
      <xdr:colOff>0</xdr:colOff>
      <xdr:row>19</xdr:row>
      <xdr:rowOff>0</xdr:rowOff>
    </xdr:to>
    <xdr:cxnSp macro="">
      <xdr:nvCxnSpPr>
        <xdr:cNvPr id="237" name="Straight Arrow Connector 236"/>
        <xdr:cNvCxnSpPr/>
      </xdr:nvCxnSpPr>
      <xdr:spPr>
        <a:xfrm>
          <a:off x="223647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12</xdr:row>
      <xdr:rowOff>0</xdr:rowOff>
    </xdr:from>
    <xdr:to>
      <xdr:col>89</xdr:col>
      <xdr:colOff>0</xdr:colOff>
      <xdr:row>12</xdr:row>
      <xdr:rowOff>0</xdr:rowOff>
    </xdr:to>
    <xdr:cxnSp macro="">
      <xdr:nvCxnSpPr>
        <xdr:cNvPr id="238" name="Straight Arrow Connector 237"/>
        <xdr:cNvCxnSpPr/>
      </xdr:nvCxnSpPr>
      <xdr:spPr>
        <a:xfrm>
          <a:off x="223647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10</xdr:row>
      <xdr:rowOff>0</xdr:rowOff>
    </xdr:from>
    <xdr:to>
      <xdr:col>89</xdr:col>
      <xdr:colOff>0</xdr:colOff>
      <xdr:row>10</xdr:row>
      <xdr:rowOff>0</xdr:rowOff>
    </xdr:to>
    <xdr:cxnSp macro="">
      <xdr:nvCxnSpPr>
        <xdr:cNvPr id="239" name="Straight Arrow Connector 238"/>
        <xdr:cNvCxnSpPr/>
      </xdr:nvCxnSpPr>
      <xdr:spPr>
        <a:xfrm>
          <a:off x="223647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23</xdr:row>
      <xdr:rowOff>0</xdr:rowOff>
    </xdr:from>
    <xdr:to>
      <xdr:col>91</xdr:col>
      <xdr:colOff>0</xdr:colOff>
      <xdr:row>23</xdr:row>
      <xdr:rowOff>0</xdr:rowOff>
    </xdr:to>
    <xdr:cxnSp macro="">
      <xdr:nvCxnSpPr>
        <xdr:cNvPr id="240" name="Straight Arrow Connector 239"/>
        <xdr:cNvCxnSpPr/>
      </xdr:nvCxnSpPr>
      <xdr:spPr>
        <a:xfrm>
          <a:off x="227914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19</xdr:row>
      <xdr:rowOff>0</xdr:rowOff>
    </xdr:from>
    <xdr:to>
      <xdr:col>91</xdr:col>
      <xdr:colOff>0</xdr:colOff>
      <xdr:row>19</xdr:row>
      <xdr:rowOff>0</xdr:rowOff>
    </xdr:to>
    <xdr:cxnSp macro="">
      <xdr:nvCxnSpPr>
        <xdr:cNvPr id="241" name="Straight Arrow Connector 240"/>
        <xdr:cNvCxnSpPr/>
      </xdr:nvCxnSpPr>
      <xdr:spPr>
        <a:xfrm>
          <a:off x="227914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12</xdr:row>
      <xdr:rowOff>0</xdr:rowOff>
    </xdr:from>
    <xdr:to>
      <xdr:col>91</xdr:col>
      <xdr:colOff>0</xdr:colOff>
      <xdr:row>12</xdr:row>
      <xdr:rowOff>0</xdr:rowOff>
    </xdr:to>
    <xdr:cxnSp macro="">
      <xdr:nvCxnSpPr>
        <xdr:cNvPr id="242" name="Straight Arrow Connector 241"/>
        <xdr:cNvCxnSpPr/>
      </xdr:nvCxnSpPr>
      <xdr:spPr>
        <a:xfrm>
          <a:off x="227914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10</xdr:row>
      <xdr:rowOff>0</xdr:rowOff>
    </xdr:from>
    <xdr:to>
      <xdr:col>91</xdr:col>
      <xdr:colOff>0</xdr:colOff>
      <xdr:row>10</xdr:row>
      <xdr:rowOff>0</xdr:rowOff>
    </xdr:to>
    <xdr:cxnSp macro="">
      <xdr:nvCxnSpPr>
        <xdr:cNvPr id="243" name="Straight Arrow Connector 242"/>
        <xdr:cNvCxnSpPr/>
      </xdr:nvCxnSpPr>
      <xdr:spPr>
        <a:xfrm>
          <a:off x="227914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23</xdr:row>
      <xdr:rowOff>0</xdr:rowOff>
    </xdr:from>
    <xdr:to>
      <xdr:col>94</xdr:col>
      <xdr:colOff>0</xdr:colOff>
      <xdr:row>23</xdr:row>
      <xdr:rowOff>0</xdr:rowOff>
    </xdr:to>
    <xdr:cxnSp macro="">
      <xdr:nvCxnSpPr>
        <xdr:cNvPr id="244" name="Straight Arrow Connector 243"/>
        <xdr:cNvCxnSpPr/>
      </xdr:nvCxnSpPr>
      <xdr:spPr>
        <a:xfrm>
          <a:off x="234315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21</xdr:row>
      <xdr:rowOff>0</xdr:rowOff>
    </xdr:from>
    <xdr:to>
      <xdr:col>94</xdr:col>
      <xdr:colOff>0</xdr:colOff>
      <xdr:row>21</xdr:row>
      <xdr:rowOff>0</xdr:rowOff>
    </xdr:to>
    <xdr:cxnSp macro="">
      <xdr:nvCxnSpPr>
        <xdr:cNvPr id="245" name="Straight Arrow Connector 244"/>
        <xdr:cNvCxnSpPr/>
      </xdr:nvCxnSpPr>
      <xdr:spPr>
        <a:xfrm>
          <a:off x="2343150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19</xdr:row>
      <xdr:rowOff>0</xdr:rowOff>
    </xdr:from>
    <xdr:to>
      <xdr:col>94</xdr:col>
      <xdr:colOff>0</xdr:colOff>
      <xdr:row>19</xdr:row>
      <xdr:rowOff>0</xdr:rowOff>
    </xdr:to>
    <xdr:cxnSp macro="">
      <xdr:nvCxnSpPr>
        <xdr:cNvPr id="246" name="Straight Arrow Connector 245"/>
        <xdr:cNvCxnSpPr/>
      </xdr:nvCxnSpPr>
      <xdr:spPr>
        <a:xfrm>
          <a:off x="234315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12</xdr:row>
      <xdr:rowOff>0</xdr:rowOff>
    </xdr:from>
    <xdr:to>
      <xdr:col>94</xdr:col>
      <xdr:colOff>0</xdr:colOff>
      <xdr:row>12</xdr:row>
      <xdr:rowOff>0</xdr:rowOff>
    </xdr:to>
    <xdr:cxnSp macro="">
      <xdr:nvCxnSpPr>
        <xdr:cNvPr id="247" name="Straight Arrow Connector 246"/>
        <xdr:cNvCxnSpPr/>
      </xdr:nvCxnSpPr>
      <xdr:spPr>
        <a:xfrm>
          <a:off x="234315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10</xdr:row>
      <xdr:rowOff>0</xdr:rowOff>
    </xdr:from>
    <xdr:to>
      <xdr:col>94</xdr:col>
      <xdr:colOff>0</xdr:colOff>
      <xdr:row>10</xdr:row>
      <xdr:rowOff>0</xdr:rowOff>
    </xdr:to>
    <xdr:cxnSp macro="">
      <xdr:nvCxnSpPr>
        <xdr:cNvPr id="248" name="Straight Arrow Connector 247"/>
        <xdr:cNvCxnSpPr/>
      </xdr:nvCxnSpPr>
      <xdr:spPr>
        <a:xfrm>
          <a:off x="234315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23</xdr:row>
      <xdr:rowOff>0</xdr:rowOff>
    </xdr:from>
    <xdr:to>
      <xdr:col>95</xdr:col>
      <xdr:colOff>0</xdr:colOff>
      <xdr:row>23</xdr:row>
      <xdr:rowOff>0</xdr:rowOff>
    </xdr:to>
    <xdr:cxnSp macro="">
      <xdr:nvCxnSpPr>
        <xdr:cNvPr id="249" name="Straight Arrow Connector 248"/>
        <xdr:cNvCxnSpPr/>
      </xdr:nvCxnSpPr>
      <xdr:spPr>
        <a:xfrm>
          <a:off x="2364486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21</xdr:row>
      <xdr:rowOff>0</xdr:rowOff>
    </xdr:from>
    <xdr:to>
      <xdr:col>95</xdr:col>
      <xdr:colOff>0</xdr:colOff>
      <xdr:row>21</xdr:row>
      <xdr:rowOff>0</xdr:rowOff>
    </xdr:to>
    <xdr:cxnSp macro="">
      <xdr:nvCxnSpPr>
        <xdr:cNvPr id="250" name="Straight Arrow Connector 249"/>
        <xdr:cNvCxnSpPr/>
      </xdr:nvCxnSpPr>
      <xdr:spPr>
        <a:xfrm>
          <a:off x="2364486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19</xdr:row>
      <xdr:rowOff>0</xdr:rowOff>
    </xdr:from>
    <xdr:to>
      <xdr:col>95</xdr:col>
      <xdr:colOff>0</xdr:colOff>
      <xdr:row>19</xdr:row>
      <xdr:rowOff>0</xdr:rowOff>
    </xdr:to>
    <xdr:cxnSp macro="">
      <xdr:nvCxnSpPr>
        <xdr:cNvPr id="251" name="Straight Arrow Connector 250"/>
        <xdr:cNvCxnSpPr/>
      </xdr:nvCxnSpPr>
      <xdr:spPr>
        <a:xfrm>
          <a:off x="2364486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12</xdr:row>
      <xdr:rowOff>0</xdr:rowOff>
    </xdr:from>
    <xdr:to>
      <xdr:col>95</xdr:col>
      <xdr:colOff>0</xdr:colOff>
      <xdr:row>12</xdr:row>
      <xdr:rowOff>0</xdr:rowOff>
    </xdr:to>
    <xdr:cxnSp macro="">
      <xdr:nvCxnSpPr>
        <xdr:cNvPr id="252" name="Straight Arrow Connector 251"/>
        <xdr:cNvCxnSpPr/>
      </xdr:nvCxnSpPr>
      <xdr:spPr>
        <a:xfrm>
          <a:off x="2364486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10</xdr:row>
      <xdr:rowOff>0</xdr:rowOff>
    </xdr:from>
    <xdr:to>
      <xdr:col>95</xdr:col>
      <xdr:colOff>0</xdr:colOff>
      <xdr:row>10</xdr:row>
      <xdr:rowOff>0</xdr:rowOff>
    </xdr:to>
    <xdr:cxnSp macro="">
      <xdr:nvCxnSpPr>
        <xdr:cNvPr id="253" name="Straight Arrow Connector 252"/>
        <xdr:cNvCxnSpPr/>
      </xdr:nvCxnSpPr>
      <xdr:spPr>
        <a:xfrm>
          <a:off x="2364486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23</xdr:row>
      <xdr:rowOff>0</xdr:rowOff>
    </xdr:from>
    <xdr:to>
      <xdr:col>96</xdr:col>
      <xdr:colOff>0</xdr:colOff>
      <xdr:row>23</xdr:row>
      <xdr:rowOff>0</xdr:rowOff>
    </xdr:to>
    <xdr:cxnSp macro="">
      <xdr:nvCxnSpPr>
        <xdr:cNvPr id="254" name="Straight Arrow Connector 253"/>
        <xdr:cNvCxnSpPr/>
      </xdr:nvCxnSpPr>
      <xdr:spPr>
        <a:xfrm>
          <a:off x="2385822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21</xdr:row>
      <xdr:rowOff>0</xdr:rowOff>
    </xdr:from>
    <xdr:to>
      <xdr:col>96</xdr:col>
      <xdr:colOff>0</xdr:colOff>
      <xdr:row>21</xdr:row>
      <xdr:rowOff>0</xdr:rowOff>
    </xdr:to>
    <xdr:cxnSp macro="">
      <xdr:nvCxnSpPr>
        <xdr:cNvPr id="255" name="Straight Arrow Connector 254"/>
        <xdr:cNvCxnSpPr/>
      </xdr:nvCxnSpPr>
      <xdr:spPr>
        <a:xfrm>
          <a:off x="2385822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19</xdr:row>
      <xdr:rowOff>0</xdr:rowOff>
    </xdr:from>
    <xdr:to>
      <xdr:col>96</xdr:col>
      <xdr:colOff>0</xdr:colOff>
      <xdr:row>19</xdr:row>
      <xdr:rowOff>0</xdr:rowOff>
    </xdr:to>
    <xdr:cxnSp macro="">
      <xdr:nvCxnSpPr>
        <xdr:cNvPr id="256" name="Straight Arrow Connector 255"/>
        <xdr:cNvCxnSpPr/>
      </xdr:nvCxnSpPr>
      <xdr:spPr>
        <a:xfrm>
          <a:off x="2385822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12</xdr:row>
      <xdr:rowOff>0</xdr:rowOff>
    </xdr:from>
    <xdr:to>
      <xdr:col>96</xdr:col>
      <xdr:colOff>0</xdr:colOff>
      <xdr:row>12</xdr:row>
      <xdr:rowOff>0</xdr:rowOff>
    </xdr:to>
    <xdr:cxnSp macro="">
      <xdr:nvCxnSpPr>
        <xdr:cNvPr id="257" name="Straight Arrow Connector 256"/>
        <xdr:cNvCxnSpPr/>
      </xdr:nvCxnSpPr>
      <xdr:spPr>
        <a:xfrm>
          <a:off x="2385822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10</xdr:row>
      <xdr:rowOff>0</xdr:rowOff>
    </xdr:from>
    <xdr:to>
      <xdr:col>96</xdr:col>
      <xdr:colOff>0</xdr:colOff>
      <xdr:row>10</xdr:row>
      <xdr:rowOff>0</xdr:rowOff>
    </xdr:to>
    <xdr:cxnSp macro="">
      <xdr:nvCxnSpPr>
        <xdr:cNvPr id="258" name="Straight Arrow Connector 257"/>
        <xdr:cNvCxnSpPr/>
      </xdr:nvCxnSpPr>
      <xdr:spPr>
        <a:xfrm>
          <a:off x="2385822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23</xdr:row>
      <xdr:rowOff>0</xdr:rowOff>
    </xdr:from>
    <xdr:to>
      <xdr:col>97</xdr:col>
      <xdr:colOff>0</xdr:colOff>
      <xdr:row>23</xdr:row>
      <xdr:rowOff>0</xdr:rowOff>
    </xdr:to>
    <xdr:cxnSp macro="">
      <xdr:nvCxnSpPr>
        <xdr:cNvPr id="259" name="Straight Arrow Connector 258"/>
        <xdr:cNvCxnSpPr/>
      </xdr:nvCxnSpPr>
      <xdr:spPr>
        <a:xfrm>
          <a:off x="2407158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21</xdr:row>
      <xdr:rowOff>0</xdr:rowOff>
    </xdr:from>
    <xdr:to>
      <xdr:col>97</xdr:col>
      <xdr:colOff>0</xdr:colOff>
      <xdr:row>21</xdr:row>
      <xdr:rowOff>0</xdr:rowOff>
    </xdr:to>
    <xdr:cxnSp macro="">
      <xdr:nvCxnSpPr>
        <xdr:cNvPr id="260" name="Straight Arrow Connector 259"/>
        <xdr:cNvCxnSpPr/>
      </xdr:nvCxnSpPr>
      <xdr:spPr>
        <a:xfrm>
          <a:off x="24071580" y="54559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19</xdr:row>
      <xdr:rowOff>0</xdr:rowOff>
    </xdr:from>
    <xdr:to>
      <xdr:col>97</xdr:col>
      <xdr:colOff>0</xdr:colOff>
      <xdr:row>19</xdr:row>
      <xdr:rowOff>0</xdr:rowOff>
    </xdr:to>
    <xdr:cxnSp macro="">
      <xdr:nvCxnSpPr>
        <xdr:cNvPr id="261" name="Straight Arrow Connector 260"/>
        <xdr:cNvCxnSpPr/>
      </xdr:nvCxnSpPr>
      <xdr:spPr>
        <a:xfrm>
          <a:off x="2407158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12</xdr:row>
      <xdr:rowOff>0</xdr:rowOff>
    </xdr:from>
    <xdr:to>
      <xdr:col>97</xdr:col>
      <xdr:colOff>0</xdr:colOff>
      <xdr:row>12</xdr:row>
      <xdr:rowOff>0</xdr:rowOff>
    </xdr:to>
    <xdr:cxnSp macro="">
      <xdr:nvCxnSpPr>
        <xdr:cNvPr id="262" name="Straight Arrow Connector 261"/>
        <xdr:cNvCxnSpPr/>
      </xdr:nvCxnSpPr>
      <xdr:spPr>
        <a:xfrm>
          <a:off x="2407158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10</xdr:row>
      <xdr:rowOff>0</xdr:rowOff>
    </xdr:from>
    <xdr:to>
      <xdr:col>97</xdr:col>
      <xdr:colOff>0</xdr:colOff>
      <xdr:row>10</xdr:row>
      <xdr:rowOff>0</xdr:rowOff>
    </xdr:to>
    <xdr:cxnSp macro="">
      <xdr:nvCxnSpPr>
        <xdr:cNvPr id="263" name="Straight Arrow Connector 262"/>
        <xdr:cNvCxnSpPr/>
      </xdr:nvCxnSpPr>
      <xdr:spPr>
        <a:xfrm>
          <a:off x="2407158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23</xdr:row>
      <xdr:rowOff>0</xdr:rowOff>
    </xdr:from>
    <xdr:to>
      <xdr:col>99</xdr:col>
      <xdr:colOff>0</xdr:colOff>
      <xdr:row>23</xdr:row>
      <xdr:rowOff>0</xdr:rowOff>
    </xdr:to>
    <xdr:cxnSp macro="">
      <xdr:nvCxnSpPr>
        <xdr:cNvPr id="264" name="Straight Arrow Connector 263"/>
        <xdr:cNvCxnSpPr/>
      </xdr:nvCxnSpPr>
      <xdr:spPr>
        <a:xfrm>
          <a:off x="24498300" y="59893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19</xdr:row>
      <xdr:rowOff>0</xdr:rowOff>
    </xdr:from>
    <xdr:to>
      <xdr:col>99</xdr:col>
      <xdr:colOff>0</xdr:colOff>
      <xdr:row>19</xdr:row>
      <xdr:rowOff>0</xdr:rowOff>
    </xdr:to>
    <xdr:cxnSp macro="">
      <xdr:nvCxnSpPr>
        <xdr:cNvPr id="265" name="Straight Arrow Connector 264"/>
        <xdr:cNvCxnSpPr/>
      </xdr:nvCxnSpPr>
      <xdr:spPr>
        <a:xfrm>
          <a:off x="24498300" y="49225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12</xdr:row>
      <xdr:rowOff>0</xdr:rowOff>
    </xdr:from>
    <xdr:to>
      <xdr:col>99</xdr:col>
      <xdr:colOff>0</xdr:colOff>
      <xdr:row>12</xdr:row>
      <xdr:rowOff>0</xdr:rowOff>
    </xdr:to>
    <xdr:cxnSp macro="">
      <xdr:nvCxnSpPr>
        <xdr:cNvPr id="266" name="Straight Arrow Connector 265"/>
        <xdr:cNvCxnSpPr/>
      </xdr:nvCxnSpPr>
      <xdr:spPr>
        <a:xfrm>
          <a:off x="24498300" y="30556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10</xdr:row>
      <xdr:rowOff>0</xdr:rowOff>
    </xdr:from>
    <xdr:to>
      <xdr:col>99</xdr:col>
      <xdr:colOff>0</xdr:colOff>
      <xdr:row>10</xdr:row>
      <xdr:rowOff>0</xdr:rowOff>
    </xdr:to>
    <xdr:cxnSp macro="">
      <xdr:nvCxnSpPr>
        <xdr:cNvPr id="267" name="Straight Arrow Connector 266"/>
        <xdr:cNvCxnSpPr/>
      </xdr:nvCxnSpPr>
      <xdr:spPr>
        <a:xfrm>
          <a:off x="24498300" y="2522220"/>
          <a:ext cx="213360" cy="0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9</xdr:row>
      <xdr:rowOff>50800</xdr:rowOff>
    </xdr:from>
    <xdr:to>
      <xdr:col>5</xdr:col>
      <xdr:colOff>162560</xdr:colOff>
      <xdr:row>9</xdr:row>
      <xdr:rowOff>172720</xdr:rowOff>
    </xdr:to>
    <xdr:sp macro="" textlink="">
      <xdr:nvSpPr>
        <xdr:cNvPr id="268" name="Rectangle 267"/>
        <xdr:cNvSpPr/>
      </xdr:nvSpPr>
      <xdr:spPr>
        <a:xfrm>
          <a:off x="1422400" y="23063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142240</xdr:colOff>
      <xdr:row>9</xdr:row>
      <xdr:rowOff>50800</xdr:rowOff>
    </xdr:from>
    <xdr:to>
      <xdr:col>4</xdr:col>
      <xdr:colOff>254000</xdr:colOff>
      <xdr:row>9</xdr:row>
      <xdr:rowOff>172720</xdr:rowOff>
    </xdr:to>
    <xdr:sp macro="" textlink="">
      <xdr:nvSpPr>
        <xdr:cNvPr id="269" name="Rectangle 268"/>
        <xdr:cNvSpPr/>
      </xdr:nvSpPr>
      <xdr:spPr>
        <a:xfrm>
          <a:off x="1201420" y="23063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50800</xdr:colOff>
      <xdr:row>4</xdr:row>
      <xdr:rowOff>50800</xdr:rowOff>
    </xdr:from>
    <xdr:to>
      <xdr:col>2</xdr:col>
      <xdr:colOff>162560</xdr:colOff>
      <xdr:row>4</xdr:row>
      <xdr:rowOff>172720</xdr:rowOff>
    </xdr:to>
    <xdr:sp macro="" textlink="">
      <xdr:nvSpPr>
        <xdr:cNvPr id="270" name="Rectangle 269"/>
        <xdr:cNvSpPr/>
      </xdr:nvSpPr>
      <xdr:spPr>
        <a:xfrm>
          <a:off x="485140" y="9728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142240</xdr:colOff>
      <xdr:row>4</xdr:row>
      <xdr:rowOff>50800</xdr:rowOff>
    </xdr:from>
    <xdr:to>
      <xdr:col>1</xdr:col>
      <xdr:colOff>254000</xdr:colOff>
      <xdr:row>4</xdr:row>
      <xdr:rowOff>172720</xdr:rowOff>
    </xdr:to>
    <xdr:sp macro="" textlink="">
      <xdr:nvSpPr>
        <xdr:cNvPr id="271" name="Rectangle 270"/>
        <xdr:cNvSpPr/>
      </xdr:nvSpPr>
      <xdr:spPr>
        <a:xfrm>
          <a:off x="264160" y="9728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71120</xdr:colOff>
      <xdr:row>6</xdr:row>
      <xdr:rowOff>193040</xdr:rowOff>
    </xdr:from>
    <xdr:to>
      <xdr:col>5</xdr:col>
      <xdr:colOff>10160</xdr:colOff>
      <xdr:row>9</xdr:row>
      <xdr:rowOff>111760</xdr:rowOff>
    </xdr:to>
    <xdr:cxnSp macro="">
      <xdr:nvCxnSpPr>
        <xdr:cNvPr id="272" name="Straight Arrow Connector 271"/>
        <xdr:cNvCxnSpPr/>
      </xdr:nvCxnSpPr>
      <xdr:spPr>
        <a:xfrm>
          <a:off x="817880" y="1648460"/>
          <a:ext cx="563880" cy="71882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9</xdr:row>
      <xdr:rowOff>50800</xdr:rowOff>
    </xdr:from>
    <xdr:to>
      <xdr:col>13</xdr:col>
      <xdr:colOff>162560</xdr:colOff>
      <xdr:row>9</xdr:row>
      <xdr:rowOff>172720</xdr:rowOff>
    </xdr:to>
    <xdr:sp macro="" textlink="">
      <xdr:nvSpPr>
        <xdr:cNvPr id="273" name="Rectangle 272"/>
        <xdr:cNvSpPr/>
      </xdr:nvSpPr>
      <xdr:spPr>
        <a:xfrm>
          <a:off x="3921760" y="23063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13</xdr:col>
      <xdr:colOff>60960</xdr:colOff>
      <xdr:row>10</xdr:row>
      <xdr:rowOff>162560</xdr:rowOff>
    </xdr:from>
    <xdr:to>
      <xdr:col>13</xdr:col>
      <xdr:colOff>172720</xdr:colOff>
      <xdr:row>11</xdr:row>
      <xdr:rowOff>20320</xdr:rowOff>
    </xdr:to>
    <xdr:sp macro="" textlink="">
      <xdr:nvSpPr>
        <xdr:cNvPr id="274" name="Rectangle 273"/>
        <xdr:cNvSpPr/>
      </xdr:nvSpPr>
      <xdr:spPr>
        <a:xfrm>
          <a:off x="3931920" y="2684780"/>
          <a:ext cx="111760" cy="12446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152400</xdr:colOff>
      <xdr:row>24</xdr:row>
      <xdr:rowOff>81280</xdr:rowOff>
    </xdr:from>
    <xdr:to>
      <xdr:col>4</xdr:col>
      <xdr:colOff>264160</xdr:colOff>
      <xdr:row>24</xdr:row>
      <xdr:rowOff>203200</xdr:rowOff>
    </xdr:to>
    <xdr:sp macro="" textlink="">
      <xdr:nvSpPr>
        <xdr:cNvPr id="275" name="Rectangle 274"/>
        <xdr:cNvSpPr/>
      </xdr:nvSpPr>
      <xdr:spPr>
        <a:xfrm>
          <a:off x="1211580" y="633730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50800</xdr:colOff>
      <xdr:row>24</xdr:row>
      <xdr:rowOff>91440</xdr:rowOff>
    </xdr:from>
    <xdr:to>
      <xdr:col>5</xdr:col>
      <xdr:colOff>162560</xdr:colOff>
      <xdr:row>24</xdr:row>
      <xdr:rowOff>213360</xdr:rowOff>
    </xdr:to>
    <xdr:sp macro="" textlink="">
      <xdr:nvSpPr>
        <xdr:cNvPr id="276" name="Rectangle 275"/>
        <xdr:cNvSpPr/>
      </xdr:nvSpPr>
      <xdr:spPr>
        <a:xfrm>
          <a:off x="1422400" y="63474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12</xdr:col>
      <xdr:colOff>152400</xdr:colOff>
      <xdr:row>24</xdr:row>
      <xdr:rowOff>81280</xdr:rowOff>
    </xdr:from>
    <xdr:to>
      <xdr:col>12</xdr:col>
      <xdr:colOff>264160</xdr:colOff>
      <xdr:row>24</xdr:row>
      <xdr:rowOff>203200</xdr:rowOff>
    </xdr:to>
    <xdr:sp macro="" textlink="">
      <xdr:nvSpPr>
        <xdr:cNvPr id="277" name="Rectangle 276"/>
        <xdr:cNvSpPr/>
      </xdr:nvSpPr>
      <xdr:spPr>
        <a:xfrm>
          <a:off x="3710940" y="633730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13</xdr:col>
      <xdr:colOff>50800</xdr:colOff>
      <xdr:row>24</xdr:row>
      <xdr:rowOff>91440</xdr:rowOff>
    </xdr:from>
    <xdr:to>
      <xdr:col>13</xdr:col>
      <xdr:colOff>162560</xdr:colOff>
      <xdr:row>24</xdr:row>
      <xdr:rowOff>213360</xdr:rowOff>
    </xdr:to>
    <xdr:sp macro="" textlink="">
      <xdr:nvSpPr>
        <xdr:cNvPr id="278" name="Rectangle 277"/>
        <xdr:cNvSpPr/>
      </xdr:nvSpPr>
      <xdr:spPr>
        <a:xfrm>
          <a:off x="3921760" y="63474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50800</xdr:colOff>
      <xdr:row>16</xdr:row>
      <xdr:rowOff>71120</xdr:rowOff>
    </xdr:from>
    <xdr:to>
      <xdr:col>1</xdr:col>
      <xdr:colOff>162560</xdr:colOff>
      <xdr:row>16</xdr:row>
      <xdr:rowOff>193040</xdr:rowOff>
    </xdr:to>
    <xdr:sp macro="" textlink="">
      <xdr:nvSpPr>
        <xdr:cNvPr id="279" name="Rectangle 278"/>
        <xdr:cNvSpPr/>
      </xdr:nvSpPr>
      <xdr:spPr>
        <a:xfrm>
          <a:off x="172720" y="419354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40640</xdr:colOff>
      <xdr:row>17</xdr:row>
      <xdr:rowOff>40640</xdr:rowOff>
    </xdr:from>
    <xdr:to>
      <xdr:col>1</xdr:col>
      <xdr:colOff>152400</xdr:colOff>
      <xdr:row>17</xdr:row>
      <xdr:rowOff>162560</xdr:rowOff>
    </xdr:to>
    <xdr:sp macro="" textlink="">
      <xdr:nvSpPr>
        <xdr:cNvPr id="280" name="Rectangle 279"/>
        <xdr:cNvSpPr/>
      </xdr:nvSpPr>
      <xdr:spPr>
        <a:xfrm>
          <a:off x="162560" y="44297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152400</xdr:colOff>
      <xdr:row>16</xdr:row>
      <xdr:rowOff>101600</xdr:rowOff>
    </xdr:from>
    <xdr:to>
      <xdr:col>16</xdr:col>
      <xdr:colOff>264160</xdr:colOff>
      <xdr:row>16</xdr:row>
      <xdr:rowOff>223520</xdr:rowOff>
    </xdr:to>
    <xdr:sp macro="" textlink="">
      <xdr:nvSpPr>
        <xdr:cNvPr id="281" name="Rectangle 280"/>
        <xdr:cNvSpPr/>
      </xdr:nvSpPr>
      <xdr:spPr>
        <a:xfrm>
          <a:off x="4960620" y="422402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152400</xdr:colOff>
      <xdr:row>17</xdr:row>
      <xdr:rowOff>40640</xdr:rowOff>
    </xdr:from>
    <xdr:to>
      <xdr:col>16</xdr:col>
      <xdr:colOff>264160</xdr:colOff>
      <xdr:row>17</xdr:row>
      <xdr:rowOff>162560</xdr:rowOff>
    </xdr:to>
    <xdr:sp macro="" textlink="">
      <xdr:nvSpPr>
        <xdr:cNvPr id="282" name="Rectangle 281"/>
        <xdr:cNvSpPr/>
      </xdr:nvSpPr>
      <xdr:spPr>
        <a:xfrm>
          <a:off x="4960620" y="4429760"/>
          <a:ext cx="111760" cy="121920"/>
        </a:xfrm>
        <a:prstGeom prst="rect">
          <a:avLst/>
        </a:prstGeom>
        <a:solidFill>
          <a:srgbClr val="00B0F0"/>
        </a:solidFill>
        <a:ln>
          <a:solidFill>
            <a:srgbClr val="A3E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233680</xdr:colOff>
      <xdr:row>8</xdr:row>
      <xdr:rowOff>152400</xdr:rowOff>
    </xdr:from>
    <xdr:to>
      <xdr:col>7</xdr:col>
      <xdr:colOff>81280</xdr:colOff>
      <xdr:row>11</xdr:row>
      <xdr:rowOff>10160</xdr:rowOff>
    </xdr:to>
    <xdr:cxnSp macro="">
      <xdr:nvCxnSpPr>
        <xdr:cNvPr id="283" name="Straight Arrow Connector 282"/>
        <xdr:cNvCxnSpPr/>
      </xdr:nvCxnSpPr>
      <xdr:spPr>
        <a:xfrm flipH="1">
          <a:off x="1292860" y="2141220"/>
          <a:ext cx="784860" cy="65786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20320</xdr:colOff>
      <xdr:row>8</xdr:row>
      <xdr:rowOff>152400</xdr:rowOff>
    </xdr:from>
    <xdr:to>
      <xdr:col>7</xdr:col>
      <xdr:colOff>101600</xdr:colOff>
      <xdr:row>12</xdr:row>
      <xdr:rowOff>30480</xdr:rowOff>
    </xdr:to>
    <xdr:cxnSp macro="">
      <xdr:nvCxnSpPr>
        <xdr:cNvPr id="284" name="Straight Arrow Connector 283"/>
        <xdr:cNvCxnSpPr/>
      </xdr:nvCxnSpPr>
      <xdr:spPr>
        <a:xfrm flipH="1">
          <a:off x="2016760" y="2141220"/>
          <a:ext cx="81280" cy="94488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193040</xdr:colOff>
      <xdr:row>8</xdr:row>
      <xdr:rowOff>20320</xdr:rowOff>
    </xdr:from>
    <xdr:to>
      <xdr:col>14</xdr:col>
      <xdr:colOff>111760</xdr:colOff>
      <xdr:row>12</xdr:row>
      <xdr:rowOff>50800</xdr:rowOff>
    </xdr:to>
    <xdr:cxnSp macro="">
      <xdr:nvCxnSpPr>
        <xdr:cNvPr id="285" name="Straight Arrow Connector 284"/>
        <xdr:cNvCxnSpPr/>
      </xdr:nvCxnSpPr>
      <xdr:spPr>
        <a:xfrm>
          <a:off x="4064000" y="2009140"/>
          <a:ext cx="231140" cy="109728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40640</xdr:colOff>
      <xdr:row>8</xdr:row>
      <xdr:rowOff>111760</xdr:rowOff>
    </xdr:from>
    <xdr:to>
      <xdr:col>4</xdr:col>
      <xdr:colOff>10160</xdr:colOff>
      <xdr:row>9</xdr:row>
      <xdr:rowOff>111760</xdr:rowOff>
    </xdr:to>
    <xdr:cxnSp macro="">
      <xdr:nvCxnSpPr>
        <xdr:cNvPr id="286" name="Straight Arrow Connector 285"/>
        <xdr:cNvCxnSpPr/>
      </xdr:nvCxnSpPr>
      <xdr:spPr>
        <a:xfrm>
          <a:off x="474980" y="2100580"/>
          <a:ext cx="594360" cy="266700"/>
        </a:xfrm>
        <a:prstGeom prst="straightConnector1">
          <a:avLst/>
        </a:prstGeom>
        <a:ln w="12700"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0</xdr:colOff>
      <xdr:row>1</xdr:row>
      <xdr:rowOff>219075</xdr:rowOff>
    </xdr:from>
    <xdr:to>
      <xdr:col>41</xdr:col>
      <xdr:colOff>253999</xdr:colOff>
      <xdr:row>12</xdr:row>
      <xdr:rowOff>114300</xdr:rowOff>
    </xdr:to>
    <xdr:pic>
      <xdr:nvPicPr>
        <xdr:cNvPr id="2" name="Picture 1" descr="http://www.arch.hku.hk/teaching/lectures/airvent/lect07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10600" y="536575"/>
          <a:ext cx="3467099" cy="282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</xdr:col>
      <xdr:colOff>266700</xdr:colOff>
      <xdr:row>1</xdr:row>
      <xdr:rowOff>203201</xdr:rowOff>
    </xdr:from>
    <xdr:to>
      <xdr:col>56</xdr:col>
      <xdr:colOff>38099</xdr:colOff>
      <xdr:row>12</xdr:row>
      <xdr:rowOff>190500</xdr:rowOff>
    </xdr:to>
    <xdr:pic>
      <xdr:nvPicPr>
        <xdr:cNvPr id="3" name="Picture 2" descr="http://www.arch.hku.hk/teaching/lectures/airvent/lect076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090400" y="520701"/>
          <a:ext cx="4152899" cy="292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5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4.bin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10" Type="http://schemas.openxmlformats.org/officeDocument/2006/relationships/oleObject" Target="../embeddings/oleObject7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S74"/>
  <sheetViews>
    <sheetView showGridLines="0" tabSelected="1" topLeftCell="AL1" zoomScale="50" zoomScaleNormal="50" workbookViewId="0">
      <selection activeCell="CI12" sqref="CI12:CI18"/>
    </sheetView>
  </sheetViews>
  <sheetFormatPr defaultRowHeight="18" customHeight="1"/>
  <cols>
    <col min="1" max="1" width="1.69921875" style="757" customWidth="1"/>
    <col min="2" max="47" width="3.3984375" style="757" customWidth="1"/>
    <col min="48" max="48" width="3.3984375" style="876" customWidth="1"/>
    <col min="49" max="50" width="1.69921875" style="876" customWidth="1"/>
    <col min="51" max="61" width="10.69921875" style="1306" customWidth="1"/>
    <col min="62" max="62" width="3.69921875" style="737" customWidth="1"/>
    <col min="63" max="64" width="6.69921875" style="737" customWidth="1"/>
    <col min="65" max="65" width="7.19921875" style="737" customWidth="1"/>
    <col min="66" max="66" width="7.69921875" style="737" customWidth="1"/>
    <col min="67" max="67" width="7.19921875" style="737" customWidth="1"/>
    <col min="68" max="68" width="5.69921875" style="737" customWidth="1"/>
    <col min="69" max="70" width="1.69921875" style="737" customWidth="1"/>
    <col min="71" max="72" width="6.69921875" style="737" customWidth="1"/>
    <col min="73" max="73" width="7.19921875" style="737" customWidth="1"/>
    <col min="74" max="74" width="7.69921875" style="737" customWidth="1"/>
    <col min="75" max="75" width="7.19921875" style="737" customWidth="1"/>
    <col min="76" max="76" width="1.69921875" style="1646" customWidth="1"/>
    <col min="77" max="77" width="7.19921875" style="1679" customWidth="1"/>
    <col min="78" max="80" width="6.19921875" style="1680" customWidth="1"/>
    <col min="81" max="81" width="7.69921875" style="1681" customWidth="1"/>
    <col min="82" max="82" width="7.69921875" style="1682" customWidth="1"/>
    <col min="83" max="84" width="9.69921875" style="737" customWidth="1"/>
    <col min="85" max="85" width="9.69921875" style="1683" customWidth="1"/>
    <col min="86" max="86" width="2.69921875" style="1647" customWidth="1"/>
    <col min="87" max="87" width="5.69921875" style="1734" customWidth="1"/>
    <col min="88" max="94" width="5.69921875" style="737" customWidth="1"/>
    <col min="95" max="95" width="5.69921875" style="1734" customWidth="1"/>
    <col min="96" max="97" width="1.69921875" style="737" customWidth="1"/>
    <col min="98" max="99" width="6.19921875" style="737" customWidth="1"/>
    <col min="100" max="100" width="6.69921875" style="737" customWidth="1"/>
    <col min="101" max="101" width="7.69921875" style="737" customWidth="1"/>
    <col min="102" max="102" width="6.69921875" style="737" customWidth="1"/>
    <col min="103" max="103" width="1.69921875" style="1646" customWidth="1"/>
    <col min="104" max="104" width="7.19921875" style="1679" customWidth="1"/>
    <col min="105" max="106" width="6.19921875" style="1680" customWidth="1"/>
    <col min="107" max="107" width="6.19921875" style="1682" customWidth="1"/>
    <col min="108" max="109" width="7.69921875" style="737" customWidth="1"/>
    <col min="110" max="112" width="9.69921875" style="737" customWidth="1"/>
    <col min="113" max="113" width="2.69921875" style="737" customWidth="1"/>
    <col min="114" max="114" width="5.69921875" style="1735" customWidth="1"/>
    <col min="115" max="115" width="5.69921875" style="1647" customWidth="1"/>
    <col min="116" max="116" width="5.69921875" style="1684" customWidth="1"/>
    <col min="117" max="121" width="5.69921875" style="737" customWidth="1"/>
    <col min="122" max="122" width="5.69921875" style="1736" customWidth="1"/>
    <col min="123" max="123" width="1.69921875" style="1008" customWidth="1"/>
    <col min="124" max="124" width="1.69921875" style="730" customWidth="1"/>
    <col min="125" max="16384" width="8.796875" style="730"/>
  </cols>
  <sheetData>
    <row r="1" spans="1:123" s="1696" customFormat="1" ht="18" customHeight="1" thickTop="1" thickBot="1">
      <c r="A1" s="1685"/>
      <c r="B1" s="1686"/>
      <c r="C1" s="1687"/>
      <c r="D1" s="1688"/>
      <c r="E1" s="1689"/>
      <c r="F1" s="1689"/>
      <c r="G1" s="1690" t="s">
        <v>708</v>
      </c>
      <c r="H1" s="1688"/>
      <c r="I1" s="1688"/>
      <c r="J1" s="1688"/>
      <c r="K1" s="1688"/>
      <c r="L1" s="1688"/>
      <c r="M1" s="1688"/>
      <c r="N1" s="1691"/>
      <c r="O1" s="1692"/>
      <c r="P1" s="1687"/>
      <c r="Q1" s="1687"/>
      <c r="R1" s="1687"/>
      <c r="S1" s="1687"/>
      <c r="T1" s="1687"/>
      <c r="U1" s="1687"/>
      <c r="V1" s="1693" t="s">
        <v>703</v>
      </c>
      <c r="W1" s="1687"/>
      <c r="X1" s="1687"/>
      <c r="Y1" s="1694"/>
      <c r="Z1" s="1689"/>
      <c r="AA1" s="1687"/>
      <c r="AB1" s="1687"/>
      <c r="AC1" s="1687"/>
      <c r="AD1" s="1687"/>
      <c r="AE1" s="1687"/>
      <c r="AF1" s="1695"/>
      <c r="AG1" s="1941"/>
      <c r="AH1" s="1942"/>
      <c r="AI1" s="1942"/>
      <c r="AJ1" s="1942"/>
      <c r="AK1" s="1942"/>
      <c r="AL1" s="1942"/>
      <c r="AM1" s="1943">
        <v>2.5</v>
      </c>
      <c r="AN1" s="1924" t="s">
        <v>499</v>
      </c>
      <c r="AO1" s="1923"/>
      <c r="AP1" s="1697"/>
      <c r="AQ1" s="1697"/>
      <c r="AR1" s="1698"/>
      <c r="AS1" s="1699"/>
      <c r="AT1" s="1699"/>
      <c r="AU1" s="1700"/>
      <c r="AV1" s="1701">
        <v>2.5</v>
      </c>
      <c r="AW1" s="1701"/>
      <c r="AX1" s="1702">
        <v>2</v>
      </c>
      <c r="AY1" s="1702">
        <v>10</v>
      </c>
      <c r="AZ1" s="1702">
        <v>10</v>
      </c>
      <c r="BA1" s="1702">
        <v>10</v>
      </c>
      <c r="BB1" s="1702">
        <v>10</v>
      </c>
      <c r="BC1" s="1702">
        <v>10</v>
      </c>
      <c r="BD1" s="1702">
        <v>10</v>
      </c>
      <c r="BE1" s="1702">
        <v>10</v>
      </c>
      <c r="BF1" s="1702">
        <v>10</v>
      </c>
      <c r="BG1" s="1702">
        <v>10</v>
      </c>
      <c r="BH1" s="1702">
        <v>10</v>
      </c>
      <c r="BI1" s="1702">
        <v>10</v>
      </c>
      <c r="BJ1" s="1701">
        <v>3</v>
      </c>
      <c r="BK1" s="1702">
        <v>6</v>
      </c>
      <c r="BL1" s="1702">
        <v>6</v>
      </c>
      <c r="BM1" s="1702">
        <v>6.5</v>
      </c>
      <c r="BN1" s="1702">
        <v>7</v>
      </c>
      <c r="BO1" s="1702">
        <v>6.5</v>
      </c>
      <c r="BP1" s="1702">
        <v>5</v>
      </c>
      <c r="BQ1" s="1702">
        <v>1</v>
      </c>
      <c r="BR1" s="1702"/>
      <c r="BS1" s="1702">
        <v>6</v>
      </c>
      <c r="BT1" s="1702">
        <v>6</v>
      </c>
      <c r="BU1" s="1702">
        <v>6.5</v>
      </c>
      <c r="BV1" s="1702">
        <v>7</v>
      </c>
      <c r="BW1" s="1702">
        <v>6.5</v>
      </c>
      <c r="BX1" s="1701"/>
      <c r="BY1" s="1702">
        <v>6.5</v>
      </c>
      <c r="BZ1" s="1702">
        <v>5.5</v>
      </c>
      <c r="CA1" s="1702">
        <v>5.5</v>
      </c>
      <c r="CB1" s="1702">
        <v>5.5</v>
      </c>
      <c r="CC1" s="1702">
        <v>7</v>
      </c>
      <c r="CD1" s="1702">
        <v>7</v>
      </c>
      <c r="CE1" s="1702">
        <v>8</v>
      </c>
      <c r="CF1" s="1702">
        <v>8</v>
      </c>
      <c r="CG1" s="1702">
        <v>7</v>
      </c>
      <c r="CH1" s="1702">
        <v>2</v>
      </c>
      <c r="CI1" s="1703">
        <v>5</v>
      </c>
      <c r="CJ1" s="1703">
        <v>5</v>
      </c>
      <c r="CK1" s="1703">
        <v>5</v>
      </c>
      <c r="CL1" s="1703">
        <v>5</v>
      </c>
      <c r="CM1" s="1703">
        <v>5</v>
      </c>
      <c r="CN1" s="1703">
        <v>5</v>
      </c>
      <c r="CO1" s="1703">
        <v>5</v>
      </c>
      <c r="CP1" s="1703">
        <v>5</v>
      </c>
      <c r="CQ1" s="1703">
        <v>5</v>
      </c>
      <c r="CR1" s="1701">
        <v>2</v>
      </c>
      <c r="CS1" s="1701">
        <v>2</v>
      </c>
      <c r="CT1" s="1702">
        <v>5.5</v>
      </c>
      <c r="CU1" s="1702">
        <v>5.5</v>
      </c>
      <c r="CV1" s="1702">
        <v>6</v>
      </c>
      <c r="CW1" s="1702">
        <v>7</v>
      </c>
      <c r="CX1" s="1702">
        <v>6</v>
      </c>
      <c r="CY1" s="1704"/>
      <c r="CZ1" s="1702">
        <v>6.5</v>
      </c>
      <c r="DA1" s="1702">
        <v>5.5</v>
      </c>
      <c r="DB1" s="1702">
        <v>5.5</v>
      </c>
      <c r="DC1" s="1702">
        <v>5.5</v>
      </c>
      <c r="DD1" s="1702">
        <v>7</v>
      </c>
      <c r="DE1" s="1702">
        <v>7</v>
      </c>
      <c r="DF1" s="1702">
        <v>8</v>
      </c>
      <c r="DG1" s="1702">
        <v>8</v>
      </c>
      <c r="DH1" s="1702">
        <v>7</v>
      </c>
      <c r="DI1" s="1702">
        <v>5</v>
      </c>
      <c r="DJ1" s="1703">
        <v>5</v>
      </c>
      <c r="DK1" s="1703">
        <v>5</v>
      </c>
      <c r="DL1" s="1703">
        <v>5</v>
      </c>
      <c r="DM1" s="1703">
        <v>5</v>
      </c>
      <c r="DN1" s="1703">
        <v>5</v>
      </c>
      <c r="DO1" s="1703">
        <v>5</v>
      </c>
      <c r="DP1" s="1703">
        <v>5</v>
      </c>
      <c r="DQ1" s="1703">
        <v>5</v>
      </c>
      <c r="DR1" s="1703">
        <v>5</v>
      </c>
      <c r="DS1" s="1703"/>
    </row>
    <row r="2" spans="1:123" ht="18" customHeight="1" thickTop="1" thickBot="1">
      <c r="B2" s="758"/>
      <c r="C2" s="2024" t="s">
        <v>709</v>
      </c>
      <c r="D2" s="770"/>
      <c r="E2" s="771"/>
      <c r="F2" s="772" t="s">
        <v>705</v>
      </c>
      <c r="G2" s="771"/>
      <c r="H2" s="771"/>
      <c r="I2" s="771"/>
      <c r="J2" s="771"/>
      <c r="K2" s="771"/>
      <c r="L2" s="771"/>
      <c r="M2" s="773"/>
      <c r="N2" s="760"/>
      <c r="O2" s="755"/>
      <c r="P2" s="755"/>
      <c r="Q2" s="755"/>
      <c r="R2" s="755"/>
      <c r="S2" s="755"/>
      <c r="T2" s="755"/>
      <c r="U2" s="755"/>
      <c r="V2" s="755"/>
      <c r="W2" s="755"/>
      <c r="X2" s="755"/>
      <c r="Y2" s="755"/>
      <c r="Z2" s="755"/>
      <c r="AA2" s="755"/>
      <c r="AB2" s="755"/>
      <c r="AC2" s="755"/>
      <c r="AD2" s="755"/>
      <c r="AE2" s="755"/>
      <c r="AF2" s="759"/>
      <c r="AG2" s="758"/>
      <c r="AH2" s="755"/>
      <c r="AI2" s="755"/>
      <c r="AJ2" s="755"/>
      <c r="AK2" s="755"/>
      <c r="AL2" s="755"/>
      <c r="AM2" s="755"/>
      <c r="AN2" s="761"/>
      <c r="AO2" s="761"/>
      <c r="AP2" s="761"/>
      <c r="AQ2" s="762"/>
      <c r="AR2" s="947" t="s">
        <v>821</v>
      </c>
      <c r="AS2" s="763"/>
      <c r="AT2" s="763"/>
      <c r="AU2" s="763"/>
      <c r="AV2" s="764"/>
      <c r="AW2" s="765"/>
      <c r="AY2" s="1316" t="s">
        <v>823</v>
      </c>
      <c r="AZ2" s="1317"/>
      <c r="BA2" s="1317"/>
      <c r="BB2" s="1306" t="s">
        <v>976</v>
      </c>
      <c r="BC2" s="2292"/>
      <c r="BD2" s="2292"/>
      <c r="BE2" s="2297">
        <v>3.1415926999999999</v>
      </c>
      <c r="BF2" s="2049" t="s">
        <v>10</v>
      </c>
      <c r="BG2" s="2049"/>
      <c r="BH2" s="2052" t="s">
        <v>84</v>
      </c>
      <c r="BI2" s="2053"/>
      <c r="BK2" s="1527" t="s">
        <v>101</v>
      </c>
      <c r="BL2" s="1528" t="s">
        <v>100</v>
      </c>
      <c r="BM2" s="1529" t="s">
        <v>99</v>
      </c>
      <c r="BN2" s="1530" t="s">
        <v>121</v>
      </c>
      <c r="BO2" s="1531"/>
      <c r="BP2" s="1532" t="s">
        <v>66</v>
      </c>
      <c r="BQ2" s="1533"/>
      <c r="BR2" s="1533"/>
      <c r="BS2" s="1527" t="s">
        <v>101</v>
      </c>
      <c r="BT2" s="1528" t="s">
        <v>100</v>
      </c>
      <c r="BU2" s="1529" t="s">
        <v>99</v>
      </c>
      <c r="BV2" s="1530" t="s">
        <v>121</v>
      </c>
      <c r="BW2" s="1531"/>
      <c r="BX2" s="1007"/>
      <c r="BY2" s="1958" t="s">
        <v>927</v>
      </c>
      <c r="BZ2" s="1959"/>
      <c r="CA2" s="1959"/>
      <c r="CB2" s="1959"/>
      <c r="CC2" s="1959"/>
      <c r="CD2" s="1959"/>
      <c r="CE2" s="1958" t="s">
        <v>120</v>
      </c>
      <c r="CF2" s="1959"/>
      <c r="CG2" s="1534" t="s">
        <v>918</v>
      </c>
      <c r="CH2" s="1535"/>
      <c r="CI2" s="1731" t="s">
        <v>99</v>
      </c>
      <c r="CJ2" s="1536" t="s">
        <v>888</v>
      </c>
      <c r="CL2" s="1537"/>
      <c r="CM2" s="1537"/>
      <c r="CN2" s="1537"/>
      <c r="CO2" s="1537"/>
      <c r="CP2" s="1537"/>
      <c r="CQ2" s="1731" t="s">
        <v>99</v>
      </c>
      <c r="CR2" s="1538"/>
      <c r="CS2" s="1538"/>
      <c r="CT2" s="1539" t="s">
        <v>101</v>
      </c>
      <c r="CU2" s="1540" t="s">
        <v>100</v>
      </c>
      <c r="CV2" s="1541" t="s">
        <v>99</v>
      </c>
      <c r="CW2" s="1542" t="s">
        <v>121</v>
      </c>
      <c r="CX2" s="1543"/>
      <c r="CY2" s="9"/>
      <c r="CZ2" s="1958" t="s">
        <v>928</v>
      </c>
      <c r="DA2" s="1959"/>
      <c r="DB2" s="1959"/>
      <c r="DC2" s="1959"/>
      <c r="DD2" s="1959"/>
      <c r="DE2" s="1959"/>
      <c r="DF2" s="1958" t="s">
        <v>929</v>
      </c>
      <c r="DG2" s="1959"/>
      <c r="DH2" s="1534" t="s">
        <v>918</v>
      </c>
      <c r="DI2" s="1535"/>
      <c r="DJ2" s="1731" t="s">
        <v>99</v>
      </c>
      <c r="DK2" s="1536" t="s">
        <v>930</v>
      </c>
      <c r="DL2" s="737"/>
      <c r="DM2" s="1537"/>
      <c r="DN2" s="1537"/>
      <c r="DO2" s="1537"/>
      <c r="DP2" s="1537"/>
      <c r="DQ2" s="1537"/>
      <c r="DR2" s="1731" t="s">
        <v>99</v>
      </c>
      <c r="DS2" s="1519"/>
    </row>
    <row r="3" spans="1:123" ht="18" customHeight="1" thickBot="1">
      <c r="B3" s="758"/>
      <c r="C3" s="2025"/>
      <c r="D3" s="777"/>
      <c r="E3" s="778"/>
      <c r="F3" s="779"/>
      <c r="G3" s="780"/>
      <c r="H3" s="780"/>
      <c r="I3" s="780"/>
      <c r="J3" s="780"/>
      <c r="K3" s="781"/>
      <c r="L3" s="782"/>
      <c r="M3" s="783"/>
      <c r="N3" s="760"/>
      <c r="O3" s="755"/>
      <c r="P3" s="755"/>
      <c r="Q3" s="755"/>
      <c r="R3" s="755"/>
      <c r="S3" s="755"/>
      <c r="T3" s="755"/>
      <c r="U3" s="755"/>
      <c r="V3" s="755"/>
      <c r="W3" s="755"/>
      <c r="X3" s="755"/>
      <c r="Y3" s="755"/>
      <c r="Z3" s="755"/>
      <c r="AA3" s="755"/>
      <c r="AB3" s="755"/>
      <c r="AC3" s="755"/>
      <c r="AD3" s="755"/>
      <c r="AE3" s="739" t="s">
        <v>125</v>
      </c>
      <c r="AF3" s="759"/>
      <c r="AG3" s="760"/>
      <c r="AH3" s="760"/>
      <c r="AI3" s="760"/>
      <c r="AJ3" s="760"/>
      <c r="AK3" s="760"/>
      <c r="AL3" s="755"/>
      <c r="AM3" s="755"/>
      <c r="AN3" s="755"/>
      <c r="AO3" s="852"/>
      <c r="AP3" s="1922" t="s">
        <v>969</v>
      </c>
      <c r="AQ3" s="1248"/>
      <c r="AR3" s="766"/>
      <c r="AS3" s="767" t="s">
        <v>730</v>
      </c>
      <c r="AT3" s="768"/>
      <c r="AU3" s="768"/>
      <c r="AV3" s="769"/>
      <c r="AW3" s="756"/>
      <c r="AY3" s="1318" t="s">
        <v>822</v>
      </c>
      <c r="AZ3" s="1317"/>
      <c r="BA3" s="1317"/>
      <c r="BB3" s="1317"/>
      <c r="BC3" s="1317"/>
      <c r="BD3" s="1317"/>
      <c r="BE3" s="1317"/>
      <c r="BF3" s="2050"/>
      <c r="BG3" s="2051"/>
      <c r="BH3" s="2054"/>
      <c r="BI3" s="2055"/>
      <c r="BK3" s="1544" t="s">
        <v>97</v>
      </c>
      <c r="BL3" s="1545" t="s">
        <v>126</v>
      </c>
      <c r="BM3" s="1545" t="s">
        <v>98</v>
      </c>
      <c r="BN3" s="1546" t="s">
        <v>898</v>
      </c>
      <c r="BO3" s="1547" t="s">
        <v>211</v>
      </c>
      <c r="BP3" s="1548" t="s">
        <v>881</v>
      </c>
      <c r="BQ3" s="1533"/>
      <c r="BR3" s="1533"/>
      <c r="BS3" s="1544" t="s">
        <v>97</v>
      </c>
      <c r="BT3" s="1545" t="s">
        <v>126</v>
      </c>
      <c r="BU3" s="1545" t="s">
        <v>98</v>
      </c>
      <c r="BV3" s="1546" t="s">
        <v>898</v>
      </c>
      <c r="BW3" s="1547" t="s">
        <v>211</v>
      </c>
      <c r="BX3" s="1549"/>
      <c r="BY3" s="1960"/>
      <c r="BZ3" s="1961"/>
      <c r="CA3" s="1961"/>
      <c r="CB3" s="1985"/>
      <c r="CC3" s="1985"/>
      <c r="CD3" s="1961"/>
      <c r="CE3" s="1960"/>
      <c r="CF3" s="1961"/>
      <c r="CG3" s="1550" t="s">
        <v>919</v>
      </c>
      <c r="CH3" s="1551"/>
      <c r="CI3" s="1732" t="s">
        <v>98</v>
      </c>
      <c r="CJ3" s="1552" t="s">
        <v>886</v>
      </c>
      <c r="CK3" s="1553"/>
      <c r="CL3" s="1537"/>
      <c r="CM3" s="1537"/>
      <c r="CN3" s="1554" t="s">
        <v>887</v>
      </c>
      <c r="CO3" s="1537"/>
      <c r="CP3" s="1537"/>
      <c r="CQ3" s="1732" t="s">
        <v>98</v>
      </c>
      <c r="CR3" s="1538"/>
      <c r="CS3" s="1538"/>
      <c r="CT3" s="1544" t="s">
        <v>97</v>
      </c>
      <c r="CU3" s="1545" t="s">
        <v>126</v>
      </c>
      <c r="CV3" s="1545" t="s">
        <v>98</v>
      </c>
      <c r="CW3" s="1546" t="s">
        <v>898</v>
      </c>
      <c r="CX3" s="1547" t="s">
        <v>211</v>
      </c>
      <c r="CY3" s="1208"/>
      <c r="CZ3" s="1960"/>
      <c r="DA3" s="1961"/>
      <c r="DB3" s="1961"/>
      <c r="DC3" s="1985"/>
      <c r="DD3" s="1985"/>
      <c r="DE3" s="1961"/>
      <c r="DF3" s="1960"/>
      <c r="DG3" s="1961"/>
      <c r="DH3" s="1550" t="s">
        <v>919</v>
      </c>
      <c r="DI3" s="1551"/>
      <c r="DJ3" s="1732" t="s">
        <v>98</v>
      </c>
      <c r="DK3" s="1552" t="s">
        <v>886</v>
      </c>
      <c r="DL3" s="1553"/>
      <c r="DM3" s="1537"/>
      <c r="DN3" s="1537"/>
      <c r="DO3" s="1554" t="s">
        <v>887</v>
      </c>
      <c r="DP3" s="1537"/>
      <c r="DQ3" s="1537"/>
      <c r="DR3" s="1732" t="s">
        <v>98</v>
      </c>
      <c r="DS3" s="1519"/>
    </row>
    <row r="4" spans="1:123" ht="18" customHeight="1" thickTop="1" thickBot="1">
      <c r="B4" s="758"/>
      <c r="C4" s="2025"/>
      <c r="D4" s="777"/>
      <c r="E4" s="788"/>
      <c r="F4" s="789" t="s">
        <v>706</v>
      </c>
      <c r="G4" s="755"/>
      <c r="H4" s="754"/>
      <c r="I4" s="754"/>
      <c r="J4" s="755"/>
      <c r="K4" s="790"/>
      <c r="L4" s="784"/>
      <c r="M4" s="783"/>
      <c r="N4" s="760"/>
      <c r="O4" s="755"/>
      <c r="P4" s="755"/>
      <c r="Q4" s="755"/>
      <c r="R4" s="755"/>
      <c r="S4" s="755"/>
      <c r="T4" s="755"/>
      <c r="U4" s="755"/>
      <c r="V4" s="755"/>
      <c r="W4" s="755"/>
      <c r="X4" s="755"/>
      <c r="Y4" s="755"/>
      <c r="Z4" s="755"/>
      <c r="AA4" s="755"/>
      <c r="AB4" s="755"/>
      <c r="AC4" s="755"/>
      <c r="AD4" s="755"/>
      <c r="AE4" s="755"/>
      <c r="AF4" s="759"/>
      <c r="AG4" s="760"/>
      <c r="AH4" s="760"/>
      <c r="AI4" s="760"/>
      <c r="AJ4" s="760"/>
      <c r="AK4" s="760"/>
      <c r="AL4" s="755"/>
      <c r="AM4" s="755"/>
      <c r="AN4" s="755"/>
      <c r="AO4" s="761"/>
      <c r="AP4" s="761"/>
      <c r="AQ4" s="762"/>
      <c r="AR4" s="774"/>
      <c r="AS4" s="775"/>
      <c r="AT4" s="775"/>
      <c r="AU4" s="775"/>
      <c r="AV4" s="776"/>
      <c r="AW4" s="761"/>
      <c r="AY4" s="1319"/>
      <c r="AZ4" s="1320" t="s">
        <v>731</v>
      </c>
      <c r="BA4" s="1321" t="s">
        <v>85</v>
      </c>
      <c r="BB4" s="1322"/>
      <c r="BC4" s="1322"/>
      <c r="BD4" s="1322"/>
      <c r="BE4" s="1323"/>
      <c r="BF4" s="1324"/>
      <c r="BG4" s="1325" t="s">
        <v>743</v>
      </c>
      <c r="BH4" s="1326" t="s">
        <v>8</v>
      </c>
      <c r="BI4" s="1327" t="s">
        <v>9</v>
      </c>
      <c r="BK4" s="1555"/>
      <c r="BL4" s="1556"/>
      <c r="BM4" s="1557"/>
      <c r="BN4" s="1558"/>
      <c r="BO4" s="1558"/>
      <c r="BP4" s="1533"/>
      <c r="BQ4" s="1533"/>
      <c r="BR4" s="1533"/>
      <c r="BS4" s="1555"/>
      <c r="BT4" s="1556"/>
      <c r="BU4" s="1557"/>
      <c r="BV4" s="1558"/>
      <c r="BW4" s="1558"/>
      <c r="BX4" s="1559"/>
      <c r="BY4" s="1560"/>
      <c r="BZ4" s="1561"/>
      <c r="CA4" s="1561"/>
      <c r="CB4" s="1562"/>
      <c r="CC4" s="1563"/>
      <c r="CD4" s="1564"/>
      <c r="CE4" s="1565"/>
      <c r="CF4" s="1566"/>
      <c r="CG4" s="1567" t="s">
        <v>920</v>
      </c>
      <c r="CH4" s="1551"/>
      <c r="CI4" s="1733"/>
      <c r="CJ4" s="1568"/>
      <c r="CK4" s="1568"/>
      <c r="CL4" s="1568"/>
      <c r="CM4" s="1568"/>
      <c r="CN4" s="1568"/>
      <c r="CO4" s="1568"/>
      <c r="CP4" s="1568"/>
      <c r="CQ4" s="1733"/>
      <c r="CR4" s="1538"/>
      <c r="CS4" s="1538"/>
      <c r="CT4" s="1555"/>
      <c r="CU4" s="1556"/>
      <c r="CV4" s="1557"/>
      <c r="CW4" s="1558"/>
      <c r="CX4" s="1558"/>
      <c r="CY4" s="9"/>
      <c r="CZ4" s="1560"/>
      <c r="DA4" s="1561"/>
      <c r="DB4" s="1561"/>
      <c r="DC4" s="1562"/>
      <c r="DD4" s="1563"/>
      <c r="DE4" s="1564"/>
      <c r="DF4" s="1565"/>
      <c r="DG4" s="1566"/>
      <c r="DH4" s="1567" t="s">
        <v>920</v>
      </c>
      <c r="DI4" s="1551"/>
      <c r="DJ4" s="1733"/>
      <c r="DK4" s="1568"/>
      <c r="DL4" s="1568"/>
      <c r="DM4" s="1568"/>
      <c r="DN4" s="1568"/>
      <c r="DO4" s="1568"/>
      <c r="DP4" s="1568"/>
      <c r="DQ4" s="1568"/>
      <c r="DR4" s="1733"/>
      <c r="DS4" s="1294"/>
    </row>
    <row r="5" spans="1:123" ht="18" customHeight="1" thickTop="1">
      <c r="B5" s="758"/>
      <c r="C5" s="2025"/>
      <c r="D5" s="777"/>
      <c r="E5" s="788"/>
      <c r="F5" s="791"/>
      <c r="G5" s="790"/>
      <c r="H5" s="792" t="s">
        <v>704</v>
      </c>
      <c r="I5" s="745"/>
      <c r="J5" s="760"/>
      <c r="K5" s="791"/>
      <c r="L5" s="784"/>
      <c r="M5" s="783"/>
      <c r="N5" s="760"/>
      <c r="O5" s="755"/>
      <c r="P5" s="755"/>
      <c r="Q5" s="755"/>
      <c r="R5" s="755"/>
      <c r="S5" s="755"/>
      <c r="T5" s="755"/>
      <c r="U5" s="755"/>
      <c r="V5" s="755"/>
      <c r="W5" s="755"/>
      <c r="X5" s="755"/>
      <c r="Y5" s="755"/>
      <c r="Z5" s="755"/>
      <c r="AA5" s="755"/>
      <c r="AB5" s="755"/>
      <c r="AC5" s="755"/>
      <c r="AD5" s="755"/>
      <c r="AE5" s="755"/>
      <c r="AF5" s="759"/>
      <c r="AG5" s="760"/>
      <c r="AH5" s="760"/>
      <c r="AI5" s="760"/>
      <c r="AJ5" s="760"/>
      <c r="AK5" s="760"/>
      <c r="AL5" s="755"/>
      <c r="AM5" s="755"/>
      <c r="AN5" s="755"/>
      <c r="AO5" s="755"/>
      <c r="AP5" s="755"/>
      <c r="AQ5" s="784"/>
      <c r="AR5" s="785"/>
      <c r="AS5" s="786"/>
      <c r="AT5" s="786"/>
      <c r="AU5" s="786"/>
      <c r="AV5" s="787"/>
      <c r="AW5" s="755"/>
      <c r="AY5" s="1328"/>
      <c r="AZ5" s="1295" t="s">
        <v>0</v>
      </c>
      <c r="BA5" s="1298" t="s">
        <v>745</v>
      </c>
      <c r="BB5" s="1329"/>
      <c r="BC5" s="1329"/>
      <c r="BD5" s="1329"/>
      <c r="BE5" s="1330"/>
      <c r="BF5" s="1331"/>
      <c r="BG5" s="1301" t="s">
        <v>82</v>
      </c>
      <c r="BH5" s="1332">
        <v>5</v>
      </c>
      <c r="BI5" s="1333">
        <v>10</v>
      </c>
      <c r="BK5" s="1569" t="s">
        <v>127</v>
      </c>
      <c r="BL5" s="1570"/>
      <c r="BM5" s="1571" t="str">
        <f>BI14</f>
        <v>8-din</v>
      </c>
      <c r="BN5" s="1572" t="s">
        <v>128</v>
      </c>
      <c r="BO5" s="1573">
        <f>BI42</f>
        <v>3</v>
      </c>
      <c r="BP5" s="1574">
        <f>SUM(BP6:BP8)</f>
        <v>2</v>
      </c>
      <c r="BQ5" s="1533"/>
      <c r="BR5" s="1533"/>
      <c r="BS5" s="1569" t="str">
        <f>BK5</f>
        <v>Section &gt;&gt;</v>
      </c>
      <c r="BT5" s="1570"/>
      <c r="BU5" s="1571" t="str">
        <f>BM5</f>
        <v>8-din</v>
      </c>
      <c r="BV5" s="1572" t="str">
        <f>BN5</f>
        <v># flrs &gt;&gt;</v>
      </c>
      <c r="BW5" s="1573">
        <f>BO5</f>
        <v>3</v>
      </c>
      <c r="BX5" s="1575"/>
      <c r="BY5" s="1576" t="s">
        <v>14</v>
      </c>
      <c r="BZ5" s="1577" t="s">
        <v>116</v>
      </c>
      <c r="CA5" s="1577" t="s">
        <v>36</v>
      </c>
      <c r="CB5" s="1578" t="s">
        <v>37</v>
      </c>
      <c r="CC5" s="1579" t="s">
        <v>915</v>
      </c>
      <c r="CD5" s="1580" t="s">
        <v>914</v>
      </c>
      <c r="CE5" s="1581" t="s">
        <v>115</v>
      </c>
      <c r="CF5" s="1582" t="s">
        <v>931</v>
      </c>
      <c r="CG5" s="1583" t="s">
        <v>151</v>
      </c>
      <c r="CH5" s="1584"/>
      <c r="CI5" s="1739">
        <f>$BM$74</f>
        <v>1</v>
      </c>
      <c r="CJ5" s="1585"/>
      <c r="CK5" s="1585"/>
      <c r="CL5" s="1585"/>
      <c r="CM5" s="1585"/>
      <c r="CN5" s="1585"/>
      <c r="CO5" s="1585"/>
      <c r="CP5" s="1585"/>
      <c r="CQ5" s="1739">
        <f>$BM$74</f>
        <v>1</v>
      </c>
      <c r="CR5" s="1538"/>
      <c r="CS5" s="1538"/>
      <c r="CT5" s="1586" t="str">
        <f>BK5</f>
        <v>Section &gt;&gt;</v>
      </c>
      <c r="CU5" s="1587"/>
      <c r="CV5" s="1588" t="str">
        <f>BM5</f>
        <v>8-din</v>
      </c>
      <c r="CW5" s="1589" t="str">
        <f>BN5</f>
        <v># flrs &gt;&gt;</v>
      </c>
      <c r="CX5" s="1590">
        <f>BO5</f>
        <v>3</v>
      </c>
      <c r="CY5" s="1575"/>
      <c r="CZ5" s="1576" t="s">
        <v>14</v>
      </c>
      <c r="DA5" s="1577" t="s">
        <v>116</v>
      </c>
      <c r="DB5" s="1577" t="s">
        <v>36</v>
      </c>
      <c r="DC5" s="1578" t="s">
        <v>37</v>
      </c>
      <c r="DD5" s="1579" t="s">
        <v>915</v>
      </c>
      <c r="DE5" s="1580" t="s">
        <v>914</v>
      </c>
      <c r="DF5" s="1581" t="s">
        <v>115</v>
      </c>
      <c r="DG5" s="1582" t="s">
        <v>931</v>
      </c>
      <c r="DH5" s="1583" t="s">
        <v>151</v>
      </c>
      <c r="DI5" s="1584"/>
      <c r="DJ5" s="1739">
        <f>$BM$74</f>
        <v>1</v>
      </c>
      <c r="DK5" s="1585"/>
      <c r="DL5" s="1585"/>
      <c r="DM5" s="1585"/>
      <c r="DN5" s="1585"/>
      <c r="DO5" s="1585"/>
      <c r="DP5" s="1585"/>
      <c r="DQ5" s="1585"/>
      <c r="DR5" s="1739">
        <f>$BM$74</f>
        <v>1</v>
      </c>
      <c r="DS5" s="1520"/>
    </row>
    <row r="6" spans="1:123" ht="18" customHeight="1" thickBot="1">
      <c r="B6" s="793"/>
      <c r="C6" s="2025"/>
      <c r="D6" s="794"/>
      <c r="E6" s="795"/>
      <c r="F6" s="796"/>
      <c r="G6" s="797"/>
      <c r="H6" s="798" t="s">
        <v>707</v>
      </c>
      <c r="I6" s="746"/>
      <c r="J6" s="799"/>
      <c r="K6" s="796"/>
      <c r="L6" s="800"/>
      <c r="M6" s="801"/>
      <c r="N6" s="760"/>
      <c r="O6" s="755"/>
      <c r="P6" s="802"/>
      <c r="Q6" s="755"/>
      <c r="R6" s="802"/>
      <c r="S6" s="802"/>
      <c r="T6" s="802"/>
      <c r="U6" s="802"/>
      <c r="V6" s="802"/>
      <c r="W6" s="802"/>
      <c r="X6" s="802"/>
      <c r="Y6" s="802"/>
      <c r="Z6" s="802"/>
      <c r="AA6" s="802"/>
      <c r="AB6" s="802"/>
      <c r="AC6" s="802"/>
      <c r="AD6" s="802"/>
      <c r="AE6" s="802"/>
      <c r="AF6" s="803"/>
      <c r="AG6" s="760"/>
      <c r="AH6" s="760"/>
      <c r="AI6" s="760"/>
      <c r="AJ6" s="760"/>
      <c r="AK6" s="760"/>
      <c r="AL6" s="755"/>
      <c r="AM6" s="755"/>
      <c r="AN6" s="755"/>
      <c r="AO6" s="755"/>
      <c r="AP6" s="755"/>
      <c r="AQ6" s="784"/>
      <c r="AR6" s="785"/>
      <c r="AS6" s="786"/>
      <c r="AT6" s="786"/>
      <c r="AU6" s="786"/>
      <c r="AV6" s="787"/>
      <c r="AW6" s="755"/>
      <c r="AY6" s="1328"/>
      <c r="AZ6" s="1295" t="s">
        <v>72</v>
      </c>
      <c r="BA6" s="1299" t="s">
        <v>86</v>
      </c>
      <c r="BB6" s="1334"/>
      <c r="BC6" s="1334"/>
      <c r="BD6" s="1334"/>
      <c r="BE6" s="1335"/>
      <c r="BF6" s="1336"/>
      <c r="BG6" s="1302" t="s">
        <v>83</v>
      </c>
      <c r="BH6" s="1337">
        <v>15</v>
      </c>
      <c r="BI6" s="1338">
        <v>25</v>
      </c>
      <c r="BK6" s="1591">
        <f>BK7+1</f>
        <v>61</v>
      </c>
      <c r="BL6" s="1592">
        <v>0</v>
      </c>
      <c r="BM6" s="1593" t="str">
        <f xml:space="preserve"> IF(BL6&lt;=0, "XX", BB$42 + BC$42 + BD$42 + BE$42 + BF$42 + BG$42 + +BL6)</f>
        <v>XX</v>
      </c>
      <c r="BN6" s="1006" t="str">
        <f>IF(BM6="XX", "XX", $BB$9 + BB$44 + BC$44 + BD$44 +BE$44 + BF$44 +BG$44 + BL6*BH$20)</f>
        <v>XX</v>
      </c>
      <c r="BO6" s="1594" t="str">
        <f>IF(BM6="XX", "XX", BN6*0.3048)</f>
        <v>XX</v>
      </c>
      <c r="BP6" s="1146">
        <f>IF( (BL6&gt;0),1, 0)</f>
        <v>0</v>
      </c>
      <c r="BQ6" s="1533"/>
      <c r="BR6" s="1533"/>
      <c r="BS6" s="1595">
        <f t="shared" ref="BS6:BS8" si="0">BK6</f>
        <v>61</v>
      </c>
      <c r="BT6" s="1596">
        <f t="shared" ref="BT6:BT8" si="1">BL6</f>
        <v>0</v>
      </c>
      <c r="BU6" s="1597" t="str">
        <f t="shared" ref="BU6:BU8" si="2">BM6</f>
        <v>XX</v>
      </c>
      <c r="BV6" s="1598" t="str">
        <f t="shared" ref="BV6:BV8" si="3">BN6</f>
        <v>XX</v>
      </c>
      <c r="BW6" s="1599" t="str">
        <f t="shared" ref="BW6:BW8" si="4">IF(BU6="XX", "XX", BV6*0.3048)</f>
        <v>XX</v>
      </c>
      <c r="BX6" s="1600"/>
      <c r="BY6" s="1601" t="str">
        <f>'SMMR-Calcs'!H11</f>
        <v>XX</v>
      </c>
      <c r="BZ6" s="1602" t="str">
        <f>'SMMR-Calcs'!K11</f>
        <v>XX</v>
      </c>
      <c r="CA6" s="1602" t="str">
        <f>'SMMR-Calcs'!L11</f>
        <v>XX</v>
      </c>
      <c r="CB6" s="1603" t="str">
        <f>'SMMR-Calcs'!M11</f>
        <v xml:space="preserve">XX </v>
      </c>
      <c r="CC6" s="1604" t="str">
        <f>'SMMR-Calcs'!S11</f>
        <v>XX</v>
      </c>
      <c r="CD6" s="1605" t="str">
        <f>'SMMR-Calcs'!R11</f>
        <v>XX</v>
      </c>
      <c r="CE6" s="1606">
        <f>'SMMR-Calcs'!AS11</f>
        <v>0</v>
      </c>
      <c r="CF6" s="1607" t="str">
        <f>'SMMR-Calcs'!AT11</f>
        <v>XX</v>
      </c>
      <c r="CG6" s="1608">
        <f>'SMMR-Calcs'!AV11</f>
        <v>0</v>
      </c>
      <c r="CH6" s="1584"/>
      <c r="CI6" s="1737">
        <f>$BM$73</f>
        <v>2</v>
      </c>
      <c r="CJ6" s="1609"/>
      <c r="CK6" s="1609"/>
      <c r="CL6" s="1609"/>
      <c r="CM6" s="1609"/>
      <c r="CN6" s="1609"/>
      <c r="CO6" s="1609"/>
      <c r="CP6" s="1609"/>
      <c r="CQ6" s="1737">
        <f>$BM$73</f>
        <v>2</v>
      </c>
      <c r="CR6" s="1538"/>
      <c r="CS6" s="1538"/>
      <c r="CT6" s="1610">
        <f t="shared" ref="CT6:CT8" si="5">BK6</f>
        <v>61</v>
      </c>
      <c r="CU6" s="1611">
        <f t="shared" ref="CU6:CU8" si="6">BL6</f>
        <v>0</v>
      </c>
      <c r="CV6" s="1612" t="str">
        <f t="shared" ref="CV6:CV8" si="7">BM6</f>
        <v>XX</v>
      </c>
      <c r="CW6" s="19" t="str">
        <f t="shared" ref="CW6:CW8" si="8">BN6</f>
        <v>XX</v>
      </c>
      <c r="CX6" s="1100" t="str">
        <f t="shared" ref="CX6:CX8" si="9">BO6</f>
        <v>XX</v>
      </c>
      <c r="CY6" s="1584"/>
      <c r="CZ6" s="1601" t="str">
        <f>'WNTR-Calcs'!H11</f>
        <v>XX</v>
      </c>
      <c r="DA6" s="1602" t="str">
        <f>'WNTR-Calcs'!K11</f>
        <v>XX</v>
      </c>
      <c r="DB6" s="1602" t="str">
        <f>'WNTR-Calcs'!L11</f>
        <v>XX</v>
      </c>
      <c r="DC6" s="1603" t="str">
        <f>'WNTR-Calcs'!M11</f>
        <v xml:space="preserve">XX </v>
      </c>
      <c r="DD6" s="1604" t="str">
        <f>'WNTR-Calcs'!S11</f>
        <v>XX</v>
      </c>
      <c r="DE6" s="1605" t="str">
        <f>'WNTR-Calcs'!R11</f>
        <v>XX</v>
      </c>
      <c r="DF6" s="1606">
        <f>'WNTR-Calcs'!AS11</f>
        <v>0</v>
      </c>
      <c r="DG6" s="1607" t="str">
        <f>'WNTR-Calcs'!AT11</f>
        <v>XX</v>
      </c>
      <c r="DH6" s="1608">
        <f>'WNTR-Calcs'!AV11</f>
        <v>0</v>
      </c>
      <c r="DI6" s="1584"/>
      <c r="DJ6" s="1737">
        <f>$BM$73</f>
        <v>2</v>
      </c>
      <c r="DK6" s="1609"/>
      <c r="DL6" s="1609"/>
      <c r="DM6" s="1609"/>
      <c r="DN6" s="1609"/>
      <c r="DO6" s="1609"/>
      <c r="DP6" s="1609"/>
      <c r="DQ6" s="1609"/>
      <c r="DR6" s="1737">
        <f>$BM$73</f>
        <v>2</v>
      </c>
      <c r="DS6" s="1520"/>
    </row>
    <row r="7" spans="1:123" ht="18" customHeight="1" thickTop="1">
      <c r="B7" s="749"/>
      <c r="C7" s="2025"/>
      <c r="D7" s="747"/>
      <c r="E7" s="732"/>
      <c r="F7" s="733"/>
      <c r="G7" s="731"/>
      <c r="H7" s="734"/>
      <c r="I7" s="734"/>
      <c r="J7" s="731"/>
      <c r="K7" s="735"/>
      <c r="L7" s="736"/>
      <c r="M7" s="748"/>
      <c r="N7" s="760"/>
      <c r="O7" s="755"/>
      <c r="P7" s="731"/>
      <c r="Q7" s="755"/>
      <c r="R7" s="731"/>
      <c r="S7" s="731"/>
      <c r="T7" s="731"/>
      <c r="U7" s="731"/>
      <c r="V7" s="731"/>
      <c r="W7" s="731"/>
      <c r="X7" s="731"/>
      <c r="Y7" s="731"/>
      <c r="Z7" s="731"/>
      <c r="AA7" s="731"/>
      <c r="AB7" s="731"/>
      <c r="AC7" s="731"/>
      <c r="AD7" s="731"/>
      <c r="AE7" s="731"/>
      <c r="AF7" s="750"/>
      <c r="AG7" s="760"/>
      <c r="AH7" s="760"/>
      <c r="AI7" s="760"/>
      <c r="AJ7" s="760"/>
      <c r="AK7" s="760"/>
      <c r="AL7" s="755"/>
      <c r="AM7" s="755"/>
      <c r="AN7" s="755"/>
      <c r="AO7" s="755"/>
      <c r="AP7" s="755"/>
      <c r="AQ7" s="784"/>
      <c r="AR7" s="785"/>
      <c r="AS7" s="786"/>
      <c r="AT7" s="786"/>
      <c r="AU7" s="786"/>
      <c r="AV7" s="787"/>
      <c r="AW7" s="755"/>
      <c r="AY7" s="1328"/>
      <c r="AZ7" s="1295" t="s">
        <v>744</v>
      </c>
      <c r="BA7" s="1299" t="s">
        <v>7</v>
      </c>
      <c r="BB7" s="1334"/>
      <c r="BC7" s="1334"/>
      <c r="BD7" s="1334"/>
      <c r="BE7" s="1335"/>
      <c r="BF7" s="1339"/>
      <c r="BG7" s="1302" t="s">
        <v>747</v>
      </c>
      <c r="BH7" s="1340">
        <v>180</v>
      </c>
      <c r="BI7" s="1341">
        <v>315</v>
      </c>
      <c r="BK7" s="1613">
        <f>BK8+1</f>
        <v>60</v>
      </c>
      <c r="BL7" s="1614">
        <v>2</v>
      </c>
      <c r="BM7" s="1615">
        <f xml:space="preserve"> IF(BL7&lt;=0, "XX", BB$42 + BC$42 + BD$42 + BE$42 + BF$42 + BG$42 + BH$42+BL7)</f>
        <v>101</v>
      </c>
      <c r="BN7" s="12">
        <f>IF(BM7="XX", "XX", $BB$9 + BB$44 + BC$44 + BD$44 +BE$44 + BF$44 +BG$44 + BH$44+ BL7*BI$20)</f>
        <v>1789</v>
      </c>
      <c r="BO7" s="1616">
        <f>IF(BM7="XX", "XX", BN7*0.3048)</f>
        <v>545.28719999999998</v>
      </c>
      <c r="BP7" s="1146">
        <f t="shared" ref="BP7:BP8" si="10">IF( (BL7&gt;0),1, 0)</f>
        <v>1</v>
      </c>
      <c r="BQ7" s="1533"/>
      <c r="BR7" s="1533"/>
      <c r="BS7" s="1595">
        <f t="shared" si="0"/>
        <v>60</v>
      </c>
      <c r="BT7" s="1596">
        <f t="shared" si="1"/>
        <v>2</v>
      </c>
      <c r="BU7" s="1597">
        <f t="shared" si="2"/>
        <v>101</v>
      </c>
      <c r="BV7" s="1598">
        <f t="shared" si="3"/>
        <v>1789</v>
      </c>
      <c r="BW7" s="1599">
        <f t="shared" si="4"/>
        <v>545.28719999999998</v>
      </c>
      <c r="BX7" s="1584"/>
      <c r="BY7" s="1601">
        <f>'SMMR-Calcs'!H12</f>
        <v>28.113401276383378</v>
      </c>
      <c r="BZ7" s="1602">
        <f>'SMMR-Calcs'!K12</f>
        <v>14.847211611917494</v>
      </c>
      <c r="CA7" s="1602">
        <f>'SMMR-Calcs'!L12</f>
        <v>90.411159999999995</v>
      </c>
      <c r="CB7" s="1603">
        <f>'SMMR-Calcs'!M12</f>
        <v>71.983739999999997</v>
      </c>
      <c r="CC7" s="1604">
        <f>'SMMR-Calcs'!S12</f>
        <v>36.865714555080451</v>
      </c>
      <c r="CD7" s="1605">
        <f>'SMMR-Calcs'!R12</f>
        <v>6.6283590713528268E-2</v>
      </c>
      <c r="CE7" s="1606">
        <f>'SMMR-Calcs'!AS12</f>
        <v>850.58918875795655</v>
      </c>
      <c r="CF7" s="1607">
        <f>'SMMR-Calcs'!AT12</f>
        <v>0.11923051273231104</v>
      </c>
      <c r="CG7" s="1608">
        <f>'SMMR-Calcs'!AV12</f>
        <v>2461.9453479410299</v>
      </c>
      <c r="CH7" s="1584"/>
      <c r="CI7" s="1525" t="str">
        <f>$BM$72</f>
        <v>1-Grd</v>
      </c>
      <c r="CJ7" s="1609"/>
      <c r="CK7" s="1609"/>
      <c r="CL7" s="1609"/>
      <c r="CM7" s="1609"/>
      <c r="CN7" s="1609"/>
      <c r="CO7" s="1609"/>
      <c r="CP7" s="1609"/>
      <c r="CQ7" s="1525" t="str">
        <f>$BM$72</f>
        <v>1-Grd</v>
      </c>
      <c r="CR7" s="1538"/>
      <c r="CS7" s="1538"/>
      <c r="CT7" s="1610">
        <f t="shared" si="5"/>
        <v>60</v>
      </c>
      <c r="CU7" s="1611">
        <f t="shared" si="6"/>
        <v>2</v>
      </c>
      <c r="CV7" s="1612">
        <f t="shared" si="7"/>
        <v>101</v>
      </c>
      <c r="CW7" s="19">
        <f t="shared" si="8"/>
        <v>1789</v>
      </c>
      <c r="CX7" s="1100">
        <f t="shared" si="9"/>
        <v>545.28719999999998</v>
      </c>
      <c r="CY7" s="1584"/>
      <c r="CZ7" s="1601">
        <f>'WNTR-Calcs'!H12</f>
        <v>28.113401276383378</v>
      </c>
      <c r="DA7" s="1602">
        <f>'WNTR-Calcs'!K12</f>
        <v>24.770817417876241</v>
      </c>
      <c r="DB7" s="1602">
        <f>'WNTR-Calcs'!L12</f>
        <v>-24.588839999999998</v>
      </c>
      <c r="DC7" s="1603">
        <f>'WNTR-Calcs'!M12</f>
        <v>-23.016259999999999</v>
      </c>
      <c r="DD7" s="1604">
        <f>'WNTR-Calcs'!S12</f>
        <v>-5.208754985266129</v>
      </c>
      <c r="DE7" s="1605">
        <f>'WNTR-Calcs'!R12</f>
        <v>8.5567487292721928E-2</v>
      </c>
      <c r="DF7" s="1606">
        <f>'WNTR-Calcs'!AS12</f>
        <v>-4035.9389319219072</v>
      </c>
      <c r="DG7" s="1607">
        <f>'WNTR-Calcs'!AT12</f>
        <v>-0.56573381671122669</v>
      </c>
      <c r="DH7" s="1608">
        <f>'WNTR-Calcs'!AV12</f>
        <v>-34787.694904922238</v>
      </c>
      <c r="DI7" s="1584"/>
      <c r="DJ7" s="1525" t="str">
        <f>$BM$72</f>
        <v>1-Grd</v>
      </c>
      <c r="DK7" s="1609"/>
      <c r="DL7" s="1609"/>
      <c r="DM7" s="1609"/>
      <c r="DN7" s="1609"/>
      <c r="DO7" s="1609"/>
      <c r="DP7" s="1609"/>
      <c r="DQ7" s="1609"/>
      <c r="DR7" s="1525" t="str">
        <f>$BM$72</f>
        <v>1-Grd</v>
      </c>
      <c r="DS7" s="1521"/>
    </row>
    <row r="8" spans="1:123" ht="18" customHeight="1" thickBot="1">
      <c r="B8" s="809"/>
      <c r="C8" s="2025"/>
      <c r="D8" s="810"/>
      <c r="E8" s="811"/>
      <c r="F8" s="812"/>
      <c r="G8" s="813"/>
      <c r="H8" s="813"/>
      <c r="I8" s="813"/>
      <c r="J8" s="813"/>
      <c r="K8" s="814"/>
      <c r="L8" s="815"/>
      <c r="M8" s="816"/>
      <c r="N8" s="760"/>
      <c r="O8" s="755"/>
      <c r="P8" s="817"/>
      <c r="Q8" s="755"/>
      <c r="R8" s="817"/>
      <c r="S8" s="817"/>
      <c r="T8" s="817"/>
      <c r="U8" s="817"/>
      <c r="V8" s="817"/>
      <c r="W8" s="817"/>
      <c r="X8" s="817"/>
      <c r="Y8" s="817"/>
      <c r="Z8" s="817"/>
      <c r="AA8" s="817"/>
      <c r="AB8" s="817"/>
      <c r="AC8" s="817"/>
      <c r="AD8" s="817"/>
      <c r="AE8" s="817"/>
      <c r="AF8" s="818"/>
      <c r="AG8" s="760"/>
      <c r="AH8" s="760"/>
      <c r="AI8" s="760"/>
      <c r="AJ8" s="760"/>
      <c r="AK8" s="760"/>
      <c r="AL8" s="755"/>
      <c r="AM8" s="755"/>
      <c r="AN8" s="1905"/>
      <c r="AO8" s="852"/>
      <c r="AP8" s="1922" t="s">
        <v>968</v>
      </c>
      <c r="AQ8" s="1248"/>
      <c r="AR8" s="804"/>
      <c r="AS8" s="805" t="s">
        <v>729</v>
      </c>
      <c r="AT8" s="806"/>
      <c r="AU8" s="806"/>
      <c r="AV8" s="807"/>
      <c r="AW8" s="808"/>
      <c r="AY8" s="1342"/>
      <c r="AZ8" s="1296" t="s">
        <v>104</v>
      </c>
      <c r="BA8" s="1300" t="s">
        <v>88</v>
      </c>
      <c r="BB8" s="1343"/>
      <c r="BC8" s="1343"/>
      <c r="BD8" s="1343"/>
      <c r="BE8" s="1344"/>
      <c r="BF8" s="1336"/>
      <c r="BG8" s="1302" t="s">
        <v>73</v>
      </c>
      <c r="BH8" s="1337">
        <v>95</v>
      </c>
      <c r="BI8" s="1338">
        <v>-20</v>
      </c>
      <c r="BK8" s="1617">
        <f>BK10+1</f>
        <v>59</v>
      </c>
      <c r="BL8" s="1618">
        <v>1</v>
      </c>
      <c r="BM8" s="1619">
        <f xml:space="preserve"> IF(BL8&lt;=0, "XX", BB$42 + BC$42 + BD$42 + BE$42 + BF$42 + BG$42 + BH$42+BL8)</f>
        <v>100</v>
      </c>
      <c r="BN8" s="1620">
        <f>IF(BM8="XX", "XX", $BB$9 + BB$44 + BC$44 + BD$44 +BE$44 + BF$44 +BG$44 + BH$44+ BL8*BI$20)</f>
        <v>1774</v>
      </c>
      <c r="BO8" s="1621">
        <f>IF(BM8="XX", "XX", BN8*0.3048)</f>
        <v>540.71519999999998</v>
      </c>
      <c r="BP8" s="1146">
        <f t="shared" si="10"/>
        <v>1</v>
      </c>
      <c r="BQ8" s="1533"/>
      <c r="BR8" s="1533"/>
      <c r="BS8" s="1595">
        <f t="shared" si="0"/>
        <v>59</v>
      </c>
      <c r="BT8" s="1596">
        <f t="shared" si="1"/>
        <v>1</v>
      </c>
      <c r="BU8" s="1597">
        <f t="shared" si="2"/>
        <v>100</v>
      </c>
      <c r="BV8" s="1598">
        <f t="shared" si="3"/>
        <v>1774</v>
      </c>
      <c r="BW8" s="1599">
        <f t="shared" si="4"/>
        <v>540.71519999999998</v>
      </c>
      <c r="BX8" s="1622"/>
      <c r="BY8" s="1623">
        <f>'SMMR-Calcs'!H13</f>
        <v>28.128832490356647</v>
      </c>
      <c r="BZ8" s="1624">
        <f>'SMMR-Calcs'!K13</f>
        <v>14.732620320855615</v>
      </c>
      <c r="CA8" s="1624">
        <f>'SMMR-Calcs'!L13</f>
        <v>90.464560000000006</v>
      </c>
      <c r="CB8" s="1625">
        <f>'SMMR-Calcs'!M13</f>
        <v>72.018839999999997</v>
      </c>
      <c r="CC8" s="1626">
        <f>'SMMR-Calcs'!S13</f>
        <v>36.887082204942942</v>
      </c>
      <c r="CD8" s="1627">
        <f>'SMMR-Calcs'!R13</f>
        <v>6.6312756970845502E-2</v>
      </c>
      <c r="CE8" s="1628">
        <f>'SMMR-Calcs'!AS13</f>
        <v>824.03553044178682</v>
      </c>
      <c r="CF8" s="1629">
        <f>'SMMR-Calcs'!AT13</f>
        <v>0.11550837948890764</v>
      </c>
      <c r="CG8" s="1630">
        <f>'SMMR-Calcs'!AV13</f>
        <v>2385.0884393107081</v>
      </c>
      <c r="CH8" s="1584"/>
      <c r="CI8" s="1737">
        <f>$BM$71</f>
        <v>3</v>
      </c>
      <c r="CJ8" s="1585"/>
      <c r="CK8" s="1585"/>
      <c r="CL8" s="1585"/>
      <c r="CM8" s="1585"/>
      <c r="CN8" s="1585"/>
      <c r="CO8" s="1585"/>
      <c r="CP8" s="1585"/>
      <c r="CQ8" s="1737">
        <f>$BM$71</f>
        <v>3</v>
      </c>
      <c r="CR8" s="1538"/>
      <c r="CS8" s="1538"/>
      <c r="CT8" s="1610">
        <f t="shared" si="5"/>
        <v>59</v>
      </c>
      <c r="CU8" s="1611">
        <f t="shared" si="6"/>
        <v>1</v>
      </c>
      <c r="CV8" s="1612">
        <f t="shared" si="7"/>
        <v>100</v>
      </c>
      <c r="CW8" s="19">
        <f t="shared" si="8"/>
        <v>1774</v>
      </c>
      <c r="CX8" s="1100">
        <f t="shared" si="9"/>
        <v>540.71519999999998</v>
      </c>
      <c r="CY8" s="1584"/>
      <c r="CZ8" s="1623">
        <f>'WNTR-Calcs'!H13</f>
        <v>28.128832490356647</v>
      </c>
      <c r="DA8" s="1624">
        <f>'WNTR-Calcs'!K13</f>
        <v>24.598930481283425</v>
      </c>
      <c r="DB8" s="1624">
        <f>'WNTR-Calcs'!L13</f>
        <v>-24.535440000000001</v>
      </c>
      <c r="DC8" s="1625">
        <f>'WNTR-Calcs'!M13</f>
        <v>-22.981159999999999</v>
      </c>
      <c r="DD8" s="1626">
        <f>'WNTR-Calcs'!S13</f>
        <v>-5.1996623371653001</v>
      </c>
      <c r="DE8" s="1631">
        <f>'WNTR-Calcs'!R13</f>
        <v>8.5604438183342096E-2</v>
      </c>
      <c r="DF8" s="1628">
        <f>'WNTR-Calcs'!AS13</f>
        <v>-3990.6408304996207</v>
      </c>
      <c r="DG8" s="1629">
        <f>'WNTR-Calcs'!AT13</f>
        <v>-0.5593841993756643</v>
      </c>
      <c r="DH8" s="1630">
        <f>'WNTR-Calcs'!AV13</f>
        <v>-34397.248825674869</v>
      </c>
      <c r="DI8" s="1584"/>
      <c r="DJ8" s="1737">
        <f>$BM$71</f>
        <v>3</v>
      </c>
      <c r="DK8" s="1585"/>
      <c r="DL8" s="1585"/>
      <c r="DM8" s="1585"/>
      <c r="DN8" s="1585"/>
      <c r="DO8" s="1585"/>
      <c r="DP8" s="1585"/>
      <c r="DQ8" s="1585"/>
      <c r="DR8" s="1737">
        <f>$BM$71</f>
        <v>3</v>
      </c>
      <c r="DS8" s="1520"/>
    </row>
    <row r="9" spans="1:123" ht="18" customHeight="1" thickTop="1" thickBot="1">
      <c r="B9" s="809"/>
      <c r="C9" s="2026"/>
      <c r="D9" s="822"/>
      <c r="E9" s="823"/>
      <c r="F9" s="823"/>
      <c r="G9" s="823"/>
      <c r="H9" s="823"/>
      <c r="I9" s="823"/>
      <c r="J9" s="823"/>
      <c r="K9" s="823"/>
      <c r="L9" s="823"/>
      <c r="M9" s="824"/>
      <c r="N9" s="760"/>
      <c r="O9" s="755"/>
      <c r="P9" s="817"/>
      <c r="Q9" s="755"/>
      <c r="R9" s="817"/>
      <c r="S9" s="817"/>
      <c r="T9" s="817"/>
      <c r="U9" s="817"/>
      <c r="V9" s="817"/>
      <c r="W9" s="817"/>
      <c r="X9" s="817"/>
      <c r="Y9" s="817"/>
      <c r="Z9" s="817"/>
      <c r="AA9" s="817"/>
      <c r="AB9" s="817"/>
      <c r="AC9" s="817"/>
      <c r="AD9" s="817"/>
      <c r="AE9" s="817"/>
      <c r="AF9" s="818"/>
      <c r="AG9" s="760"/>
      <c r="AH9" s="760"/>
      <c r="AI9" s="760"/>
      <c r="AJ9" s="760"/>
      <c r="AK9" s="760"/>
      <c r="AL9" s="755"/>
      <c r="AM9" s="755"/>
      <c r="AN9" s="755"/>
      <c r="AO9" s="761"/>
      <c r="AP9" s="761"/>
      <c r="AQ9" s="762"/>
      <c r="AR9" s="917"/>
      <c r="AS9" s="918"/>
      <c r="AT9" s="918"/>
      <c r="AU9" s="918"/>
      <c r="AV9" s="919"/>
      <c r="AW9" s="734"/>
      <c r="AY9" s="1345"/>
      <c r="AZ9" s="1346"/>
      <c r="BA9" s="1297" t="s">
        <v>900</v>
      </c>
      <c r="BB9" s="1347">
        <v>500</v>
      </c>
      <c r="BC9" s="1339"/>
      <c r="BD9" s="1304" t="s">
        <v>750</v>
      </c>
      <c r="BE9" s="1348">
        <v>20</v>
      </c>
      <c r="BF9" s="1336"/>
      <c r="BG9" s="1302" t="s">
        <v>4</v>
      </c>
      <c r="BH9" s="1337">
        <v>75</v>
      </c>
      <c r="BI9" s="1338">
        <v>-20</v>
      </c>
      <c r="BK9" s="1632" t="s">
        <v>127</v>
      </c>
      <c r="BL9" s="1633"/>
      <c r="BM9" s="1634" t="str">
        <f>BH14</f>
        <v>7-Apt</v>
      </c>
      <c r="BN9" s="1635" t="s">
        <v>128</v>
      </c>
      <c r="BO9" s="1636">
        <f>BH42+COUNT(BL6:BL8)</f>
        <v>19</v>
      </c>
      <c r="BP9" s="1574">
        <f>SUM(BP10:BP21)</f>
        <v>11</v>
      </c>
      <c r="BQ9" s="1533"/>
      <c r="BR9" s="1533"/>
      <c r="BS9" s="1632" t="str">
        <f>BK9</f>
        <v>Section &gt;&gt;</v>
      </c>
      <c r="BT9" s="1633"/>
      <c r="BU9" s="1634" t="str">
        <f>BM9</f>
        <v>7-Apt</v>
      </c>
      <c r="BV9" s="1635" t="str">
        <f>BN9</f>
        <v># flrs &gt;&gt;</v>
      </c>
      <c r="BW9" s="1636">
        <f>BO9</f>
        <v>19</v>
      </c>
      <c r="BX9" s="1575"/>
      <c r="BY9" s="1576" t="s">
        <v>14</v>
      </c>
      <c r="BZ9" s="1577" t="s">
        <v>116</v>
      </c>
      <c r="CA9" s="1577" t="s">
        <v>36</v>
      </c>
      <c r="CB9" s="1578" t="s">
        <v>37</v>
      </c>
      <c r="CC9" s="1579" t="s">
        <v>915</v>
      </c>
      <c r="CD9" s="1580" t="s">
        <v>914</v>
      </c>
      <c r="CE9" s="1581" t="s">
        <v>115</v>
      </c>
      <c r="CF9" s="1582" t="s">
        <v>931</v>
      </c>
      <c r="CG9" s="1583" t="s">
        <v>151</v>
      </c>
      <c r="CH9" s="1584"/>
      <c r="CI9" s="1737">
        <f>$BM$70</f>
        <v>4</v>
      </c>
      <c r="CJ9" s="1609"/>
      <c r="CK9" s="1609"/>
      <c r="CL9" s="1609"/>
      <c r="CM9" s="1609"/>
      <c r="CN9" s="1609"/>
      <c r="CO9" s="1609"/>
      <c r="CP9" s="1609"/>
      <c r="CQ9" s="1737">
        <f>$BM$70</f>
        <v>4</v>
      </c>
      <c r="CR9" s="1538"/>
      <c r="CS9" s="1538"/>
      <c r="CT9" s="1637" t="str">
        <f>BK9</f>
        <v>Section &gt;&gt;</v>
      </c>
      <c r="CU9" s="1638"/>
      <c r="CV9" s="1634" t="str">
        <f>BM9</f>
        <v>7-Apt</v>
      </c>
      <c r="CW9" s="1639" t="str">
        <f>BN9</f>
        <v># flrs &gt;&gt;</v>
      </c>
      <c r="CX9" s="1640">
        <f>BO9</f>
        <v>19</v>
      </c>
      <c r="CY9" s="1575"/>
      <c r="CZ9" s="1576" t="s">
        <v>14</v>
      </c>
      <c r="DA9" s="1577" t="s">
        <v>116</v>
      </c>
      <c r="DB9" s="1577" t="s">
        <v>36</v>
      </c>
      <c r="DC9" s="1578" t="s">
        <v>37</v>
      </c>
      <c r="DD9" s="1579" t="s">
        <v>915</v>
      </c>
      <c r="DE9" s="1580" t="s">
        <v>914</v>
      </c>
      <c r="DF9" s="1641" t="s">
        <v>115</v>
      </c>
      <c r="DG9" s="1642" t="s">
        <v>931</v>
      </c>
      <c r="DH9" s="1643" t="s">
        <v>151</v>
      </c>
      <c r="DI9" s="1584"/>
      <c r="DJ9" s="1737">
        <f>$BM$70</f>
        <v>4</v>
      </c>
      <c r="DK9" s="1609"/>
      <c r="DL9" s="1609"/>
      <c r="DM9" s="1609"/>
      <c r="DN9" s="1609"/>
      <c r="DO9" s="1609"/>
      <c r="DP9" s="1609"/>
      <c r="DQ9" s="1609"/>
      <c r="DR9" s="1737">
        <f>$BM$70</f>
        <v>4</v>
      </c>
      <c r="DS9" s="1520"/>
    </row>
    <row r="10" spans="1:123" ht="18" customHeight="1" thickTop="1">
      <c r="B10" s="825"/>
      <c r="C10" s="826"/>
      <c r="D10" s="827"/>
      <c r="E10" s="827"/>
      <c r="F10" s="827"/>
      <c r="G10" s="827"/>
      <c r="H10" s="827"/>
      <c r="I10" s="827"/>
      <c r="J10" s="827"/>
      <c r="K10" s="827"/>
      <c r="L10" s="827"/>
      <c r="M10" s="827"/>
      <c r="N10" s="760"/>
      <c r="O10" s="755"/>
      <c r="P10" s="826"/>
      <c r="Q10" s="755"/>
      <c r="R10" s="826"/>
      <c r="S10" s="826"/>
      <c r="T10" s="826"/>
      <c r="U10" s="826"/>
      <c r="V10" s="826"/>
      <c r="W10" s="826"/>
      <c r="X10" s="826"/>
      <c r="Y10" s="826"/>
      <c r="Z10" s="826"/>
      <c r="AA10" s="826"/>
      <c r="AB10" s="738" t="s">
        <v>49</v>
      </c>
      <c r="AC10" s="826"/>
      <c r="AD10" s="826"/>
      <c r="AE10" s="826"/>
      <c r="AF10" s="828"/>
      <c r="AG10" s="760"/>
      <c r="AH10" s="760"/>
      <c r="AI10" s="760"/>
      <c r="AJ10" s="760"/>
      <c r="AK10" s="760"/>
      <c r="AL10" s="755"/>
      <c r="AM10" s="755"/>
      <c r="AN10" s="755"/>
      <c r="AO10" s="755"/>
      <c r="AP10" s="755"/>
      <c r="AQ10" s="784"/>
      <c r="AR10" s="819"/>
      <c r="AS10" s="820"/>
      <c r="AT10" s="820"/>
      <c r="AU10" s="820"/>
      <c r="AV10" s="821"/>
      <c r="AW10" s="817"/>
      <c r="AY10" s="1349"/>
      <c r="AZ10" s="1312"/>
      <c r="BA10" s="1295" t="s">
        <v>742</v>
      </c>
      <c r="BB10" s="1350">
        <v>0.65</v>
      </c>
      <c r="BC10" s="1339"/>
      <c r="BD10" s="1304" t="s">
        <v>749</v>
      </c>
      <c r="BE10" s="1351">
        <v>10</v>
      </c>
      <c r="BF10" s="1336"/>
      <c r="BG10" s="1302" t="s">
        <v>129</v>
      </c>
      <c r="BH10" s="1337">
        <v>2680</v>
      </c>
      <c r="BI10" s="1338">
        <v>7981</v>
      </c>
      <c r="BK10" s="1617">
        <f t="shared" ref="BK10:BK19" si="11">BK11+1</f>
        <v>58</v>
      </c>
      <c r="BL10" s="1592">
        <v>0</v>
      </c>
      <c r="BM10" s="1593" t="str">
        <f t="shared" ref="BM10:BM21" si="12" xml:space="preserve"> IF(BL10&lt;=0, "XX", BB$42 + BC$42 + BD$42 + BE$42 + BF$42 + BG$42 + +BL10)</f>
        <v>XX</v>
      </c>
      <c r="BN10" s="1620" t="str">
        <f t="shared" ref="BN10:BN21" si="13">IF(BM10="XX", "XX", $BB$9 + BB$44 + BC$44 + BD$44 +BE$44 + BF$44 +BG$44 + BL10*BH$20)</f>
        <v>XX</v>
      </c>
      <c r="BO10" s="1644" t="str">
        <f t="shared" ref="BO10" si="14">IF(BM10="XX", "XX", BN10*0.3048)</f>
        <v>XX</v>
      </c>
      <c r="BP10" s="1146">
        <f t="shared" ref="BP10:BP11" si="15">IF( (BL10&gt;0),1, 0)</f>
        <v>0</v>
      </c>
      <c r="BQ10" s="1533"/>
      <c r="BR10" s="1533"/>
      <c r="BS10" s="1595">
        <f t="shared" ref="BS10:BS21" si="16">BK10</f>
        <v>58</v>
      </c>
      <c r="BT10" s="1596">
        <f t="shared" ref="BT10:BT21" si="17">BL10</f>
        <v>0</v>
      </c>
      <c r="BU10" s="1597" t="str">
        <f t="shared" ref="BU10:BU21" si="18">BM10</f>
        <v>XX</v>
      </c>
      <c r="BV10" s="1598" t="str">
        <f t="shared" ref="BV10:BV21" si="19">BN10</f>
        <v>XX</v>
      </c>
      <c r="BW10" s="1599" t="str">
        <f t="shared" ref="BW10:BW21" si="20">IF(BU10="XX", "XX", BV10*0.3048)</f>
        <v>XX</v>
      </c>
      <c r="BX10" s="1600"/>
      <c r="BY10" s="1601" t="str">
        <f>'SMMR-Calcs'!H15</f>
        <v>XX</v>
      </c>
      <c r="BZ10" s="1602" t="str">
        <f>'SMMR-Calcs'!K15</f>
        <v>XX</v>
      </c>
      <c r="CA10" s="1602" t="str">
        <f>'SMMR-Calcs'!L15</f>
        <v>XX</v>
      </c>
      <c r="CB10" s="1603" t="str">
        <f>'SMMR-Calcs'!M15</f>
        <v xml:space="preserve">XX </v>
      </c>
      <c r="CC10" s="1604" t="str">
        <f>'SMMR-Calcs'!S15</f>
        <v>XX</v>
      </c>
      <c r="CD10" s="1605" t="str">
        <f>'SMMR-Calcs'!R15</f>
        <v>XX</v>
      </c>
      <c r="CE10" s="1606">
        <f>'SMMR-Calcs'!AS15</f>
        <v>0</v>
      </c>
      <c r="CF10" s="1607" t="str">
        <f>'SMMR-Calcs'!AT15</f>
        <v>XX</v>
      </c>
      <c r="CG10" s="1608">
        <f>'SMMR-Calcs'!AV15</f>
        <v>0</v>
      </c>
      <c r="CH10" s="1584"/>
      <c r="CI10" s="1737">
        <f>$BM$69</f>
        <v>5</v>
      </c>
      <c r="CJ10" s="1609"/>
      <c r="CK10" s="1609"/>
      <c r="CL10" s="1609"/>
      <c r="CM10" s="1609"/>
      <c r="CN10" s="1609"/>
      <c r="CO10" s="1609"/>
      <c r="CP10" s="1609"/>
      <c r="CQ10" s="1737">
        <f>$BM$69</f>
        <v>5</v>
      </c>
      <c r="CR10" s="1538"/>
      <c r="CS10" s="1538"/>
      <c r="CT10" s="1610">
        <f t="shared" ref="CT10:CT21" si="21">BK10</f>
        <v>58</v>
      </c>
      <c r="CU10" s="1611">
        <f t="shared" ref="CU10:CU21" si="22">BL10</f>
        <v>0</v>
      </c>
      <c r="CV10" s="1612" t="str">
        <f t="shared" ref="CV10:CV21" si="23">BM10</f>
        <v>XX</v>
      </c>
      <c r="CW10" s="19" t="str">
        <f t="shared" ref="CW10:CW21" si="24">BN10</f>
        <v>XX</v>
      </c>
      <c r="CX10" s="1100" t="str">
        <f t="shared" ref="CX10:CX21" si="25">BO10</f>
        <v>XX</v>
      </c>
      <c r="CY10" s="1584"/>
      <c r="CZ10" s="1601" t="str">
        <f>'WNTR-Calcs'!H15</f>
        <v>XX</v>
      </c>
      <c r="DA10" s="1602" t="str">
        <f>'WNTR-Calcs'!K15</f>
        <v>XX</v>
      </c>
      <c r="DB10" s="1602" t="str">
        <f>'WNTR-Calcs'!L15</f>
        <v>XX</v>
      </c>
      <c r="DC10" s="1603" t="str">
        <f>'WNTR-Calcs'!M15</f>
        <v xml:space="preserve">XX </v>
      </c>
      <c r="DD10" s="1604" t="str">
        <f>'WNTR-Calcs'!S15</f>
        <v>XX</v>
      </c>
      <c r="DE10" s="1605" t="str">
        <f>'WNTR-Calcs'!R15</f>
        <v>XX</v>
      </c>
      <c r="DF10" s="1606">
        <f>'WNTR-Calcs'!AS15</f>
        <v>0</v>
      </c>
      <c r="DG10" s="1607" t="str">
        <f>'WNTR-Calcs'!AT15</f>
        <v>XX</v>
      </c>
      <c r="DH10" s="1608">
        <f>'WNTR-Calcs'!AV15</f>
        <v>0</v>
      </c>
      <c r="DI10" s="1584"/>
      <c r="DJ10" s="1737">
        <f>$BM$69</f>
        <v>5</v>
      </c>
      <c r="DK10" s="1609"/>
      <c r="DL10" s="1609"/>
      <c r="DM10" s="1609"/>
      <c r="DN10" s="1609"/>
      <c r="DO10" s="1609"/>
      <c r="DP10" s="1609"/>
      <c r="DQ10" s="1609"/>
      <c r="DR10" s="1737">
        <f>$BM$69</f>
        <v>5</v>
      </c>
      <c r="DS10" s="1520"/>
    </row>
    <row r="11" spans="1:123" ht="18" customHeight="1">
      <c r="B11" s="749"/>
      <c r="C11" s="831" t="s">
        <v>710</v>
      </c>
      <c r="E11" s="755"/>
      <c r="F11" s="755"/>
      <c r="G11" s="731"/>
      <c r="H11" s="731"/>
      <c r="I11" s="731"/>
      <c r="J11" s="731"/>
      <c r="K11" s="731"/>
      <c r="L11" s="831" t="s">
        <v>711</v>
      </c>
      <c r="M11" s="731"/>
      <c r="N11" s="760"/>
      <c r="O11" s="755"/>
      <c r="P11" s="731"/>
      <c r="Q11" s="755"/>
      <c r="R11" s="731"/>
      <c r="S11" s="832"/>
      <c r="T11" s="832"/>
      <c r="U11" s="832"/>
      <c r="V11" s="731"/>
      <c r="W11" s="731"/>
      <c r="X11" s="731"/>
      <c r="Y11" s="731"/>
      <c r="Z11" s="731"/>
      <c r="AA11" s="731"/>
      <c r="AB11" s="731"/>
      <c r="AC11" s="731"/>
      <c r="AD11" s="731"/>
      <c r="AE11" s="731"/>
      <c r="AF11" s="750"/>
      <c r="AG11" s="760"/>
      <c r="AH11" s="760"/>
      <c r="AI11" s="760"/>
      <c r="AJ11" s="760"/>
      <c r="AK11" s="760"/>
      <c r="AL11" s="755"/>
      <c r="AM11" s="755"/>
      <c r="AN11" s="755"/>
      <c r="AO11" s="755"/>
      <c r="AP11" s="755"/>
      <c r="AQ11" s="784"/>
      <c r="AR11" s="819"/>
      <c r="AS11" s="820"/>
      <c r="AT11" s="820"/>
      <c r="AU11" s="820"/>
      <c r="AV11" s="821"/>
      <c r="AW11" s="817"/>
      <c r="AY11" s="1352"/>
      <c r="AZ11" s="1353"/>
      <c r="BA11" s="1295" t="s">
        <v>746</v>
      </c>
      <c r="BB11" s="1350">
        <v>0.6</v>
      </c>
      <c r="BC11" s="1339"/>
      <c r="BD11" s="1304" t="s">
        <v>751</v>
      </c>
      <c r="BE11" s="1351">
        <v>15</v>
      </c>
      <c r="BF11" s="1336"/>
      <c r="BG11" s="1302" t="s">
        <v>5</v>
      </c>
      <c r="BH11" s="1337">
        <v>75</v>
      </c>
      <c r="BI11" s="1338">
        <v>72</v>
      </c>
      <c r="BK11" s="1617">
        <f t="shared" ref="BK11" si="26">BK12+1</f>
        <v>57</v>
      </c>
      <c r="BL11" s="1614">
        <v>19</v>
      </c>
      <c r="BM11" s="1615">
        <f t="shared" si="12"/>
        <v>102</v>
      </c>
      <c r="BN11" s="1620">
        <f t="shared" si="13"/>
        <v>1779</v>
      </c>
      <c r="BO11" s="1616">
        <f t="shared" ref="BO11:BO21" si="27">IF(BM11="XX", "XX", BN11*0.3048)</f>
        <v>542.23919999999998</v>
      </c>
      <c r="BP11" s="737">
        <f t="shared" si="15"/>
        <v>1</v>
      </c>
      <c r="BQ11" s="1533"/>
      <c r="BR11" s="1533"/>
      <c r="BS11" s="1595">
        <f t="shared" si="16"/>
        <v>57</v>
      </c>
      <c r="BT11" s="1596">
        <f t="shared" si="17"/>
        <v>19</v>
      </c>
      <c r="BU11" s="1597">
        <f t="shared" si="18"/>
        <v>102</v>
      </c>
      <c r="BV11" s="1598">
        <f t="shared" si="19"/>
        <v>1779</v>
      </c>
      <c r="BW11" s="1599">
        <f t="shared" si="20"/>
        <v>542.23919999999998</v>
      </c>
      <c r="BX11" s="1584"/>
      <c r="BY11" s="1601">
        <f>'SMMR-Calcs'!H16</f>
        <v>28.123687990514853</v>
      </c>
      <c r="BZ11" s="1602">
        <f>'SMMR-Calcs'!K16</f>
        <v>14.770817417876241</v>
      </c>
      <c r="CA11" s="1602">
        <f>'SMMR-Calcs'!L16</f>
        <v>90.446759999999998</v>
      </c>
      <c r="CB11" s="1603">
        <f>'SMMR-Calcs'!M16</f>
        <v>72.007139999999993</v>
      </c>
      <c r="CC11" s="1604">
        <f>'SMMR-Calcs'!S16</f>
        <v>36.879958946551056</v>
      </c>
      <c r="CD11" s="1605">
        <f>'SMMR-Calcs'!R16</f>
        <v>6.6303033874407363E-2</v>
      </c>
      <c r="CE11" s="1606">
        <f>'SMMR-Calcs'!AS16</f>
        <v>1061.6370243190252</v>
      </c>
      <c r="CF11" s="1607">
        <f>'SMMR-Calcs'!AT16</f>
        <v>0.22322090690453467</v>
      </c>
      <c r="CG11" s="1608">
        <f>'SMMR-Calcs'!AV16</f>
        <v>3439.7039587936415</v>
      </c>
      <c r="CH11" s="1584"/>
      <c r="CI11" s="1525" t="str">
        <f>$BM$68</f>
        <v>2-Rtl</v>
      </c>
      <c r="CJ11" s="1609"/>
      <c r="CK11" s="1609"/>
      <c r="CL11" s="1609"/>
      <c r="CM11" s="1609"/>
      <c r="CN11" s="1609"/>
      <c r="CO11" s="1609"/>
      <c r="CP11" s="1609"/>
      <c r="CQ11" s="1525" t="str">
        <f>$BM$68</f>
        <v>2-Rtl</v>
      </c>
      <c r="CR11" s="1538"/>
      <c r="CS11" s="1538"/>
      <c r="CT11" s="1610">
        <f t="shared" si="21"/>
        <v>57</v>
      </c>
      <c r="CU11" s="1611">
        <f t="shared" si="22"/>
        <v>19</v>
      </c>
      <c r="CV11" s="1612">
        <f t="shared" si="23"/>
        <v>102</v>
      </c>
      <c r="CW11" s="19">
        <f t="shared" si="24"/>
        <v>1779</v>
      </c>
      <c r="CX11" s="1100">
        <f t="shared" si="25"/>
        <v>542.23919999999998</v>
      </c>
      <c r="CY11" s="1584"/>
      <c r="CZ11" s="1601">
        <f>'WNTR-Calcs'!H16</f>
        <v>28.123687990514853</v>
      </c>
      <c r="DA11" s="1602">
        <f>'WNTR-Calcs'!K16</f>
        <v>24.65622612681436</v>
      </c>
      <c r="DB11" s="1602">
        <f>'WNTR-Calcs'!L16</f>
        <v>-24.553239999999999</v>
      </c>
      <c r="DC11" s="1603">
        <f>'WNTR-Calcs'!M16</f>
        <v>-22.99286</v>
      </c>
      <c r="DD11" s="1604">
        <f>'WNTR-Calcs'!S16</f>
        <v>-5.2026932432565101</v>
      </c>
      <c r="DE11" s="1605">
        <f>'WNTR-Calcs'!R16</f>
        <v>8.5592119854055501E-2</v>
      </c>
      <c r="DF11" s="1606">
        <f>'WNTR-Calcs'!AS16</f>
        <v>-3856.3273101306586</v>
      </c>
      <c r="DG11" s="1607">
        <f>'WNTR-Calcs'!AT16</f>
        <v>-0.81083539832293317</v>
      </c>
      <c r="DH11" s="1608">
        <f>'WNTR-Calcs'!AV16</f>
        <v>-12494.500484823335</v>
      </c>
      <c r="DI11" s="1584"/>
      <c r="DJ11" s="1525" t="str">
        <f>$BM$68</f>
        <v>2-Rtl</v>
      </c>
      <c r="DK11" s="1609"/>
      <c r="DL11" s="1609"/>
      <c r="DM11" s="1609"/>
      <c r="DN11" s="1609"/>
      <c r="DO11" s="1609"/>
      <c r="DP11" s="1609"/>
      <c r="DQ11" s="1609"/>
      <c r="DR11" s="1525" t="str">
        <f>$BM$68</f>
        <v>2-Rtl</v>
      </c>
      <c r="DS11" s="1521"/>
    </row>
    <row r="12" spans="1:123" ht="18" customHeight="1" thickBot="1">
      <c r="B12" s="758"/>
      <c r="C12" s="731" t="s">
        <v>713</v>
      </c>
      <c r="E12" s="755"/>
      <c r="F12" s="755"/>
      <c r="G12" s="755"/>
      <c r="H12" s="755"/>
      <c r="I12" s="755"/>
      <c r="J12" s="755"/>
      <c r="K12" s="755"/>
      <c r="L12" s="731" t="s">
        <v>714</v>
      </c>
      <c r="N12" s="760"/>
      <c r="Q12" s="755"/>
      <c r="R12" s="755"/>
      <c r="S12" s="755"/>
      <c r="T12" s="831" t="s">
        <v>712</v>
      </c>
      <c r="U12" s="755"/>
      <c r="V12" s="755"/>
      <c r="W12" s="755"/>
      <c r="Z12" s="755"/>
      <c r="AA12" s="731"/>
      <c r="AB12" s="731"/>
      <c r="AC12" s="731"/>
      <c r="AD12" s="731"/>
      <c r="AE12" s="755"/>
      <c r="AF12" s="759"/>
      <c r="AG12" s="760"/>
      <c r="AH12" s="760"/>
      <c r="AI12" s="760"/>
      <c r="AJ12" s="760"/>
      <c r="AK12" s="760"/>
      <c r="AL12" s="755"/>
      <c r="AM12" s="755"/>
      <c r="AN12" s="755"/>
      <c r="AO12" s="755"/>
      <c r="AP12" s="755"/>
      <c r="AQ12" s="784"/>
      <c r="AR12" s="819"/>
      <c r="AS12" s="829"/>
      <c r="AT12" s="829"/>
      <c r="AU12" s="829"/>
      <c r="AV12" s="830"/>
      <c r="AW12" s="826"/>
      <c r="AY12" s="1354"/>
      <c r="AZ12" s="1355"/>
      <c r="BA12" s="1296" t="s">
        <v>824</v>
      </c>
      <c r="BB12" s="1356">
        <v>0.01</v>
      </c>
      <c r="BC12" s="1355"/>
      <c r="BD12" s="1305" t="s">
        <v>826</v>
      </c>
      <c r="BE12" s="1357">
        <v>31</v>
      </c>
      <c r="BF12" s="1358"/>
      <c r="BG12" s="1303" t="s">
        <v>6</v>
      </c>
      <c r="BH12" s="1359">
        <v>62</v>
      </c>
      <c r="BI12" s="1360">
        <v>55</v>
      </c>
      <c r="BK12" s="1617">
        <f t="shared" si="11"/>
        <v>56</v>
      </c>
      <c r="BL12" s="1614">
        <v>17</v>
      </c>
      <c r="BM12" s="1615">
        <f t="shared" si="12"/>
        <v>100</v>
      </c>
      <c r="BN12" s="1620">
        <f t="shared" si="13"/>
        <v>1759</v>
      </c>
      <c r="BO12" s="1616">
        <f t="shared" si="27"/>
        <v>536.14319999999998</v>
      </c>
      <c r="BP12" s="1645">
        <f t="shared" ref="BP12:BP21" si="28">IF( (BL12&gt;0),1, 0)</f>
        <v>1</v>
      </c>
      <c r="BQ12" s="1533"/>
      <c r="BR12" s="1533"/>
      <c r="BS12" s="1595">
        <f t="shared" si="16"/>
        <v>56</v>
      </c>
      <c r="BT12" s="1596">
        <f t="shared" si="17"/>
        <v>17</v>
      </c>
      <c r="BU12" s="1597">
        <f t="shared" si="18"/>
        <v>100</v>
      </c>
      <c r="BV12" s="1598">
        <f t="shared" si="19"/>
        <v>1759</v>
      </c>
      <c r="BW12" s="1599">
        <f t="shared" si="20"/>
        <v>536.14319999999998</v>
      </c>
      <c r="BX12" s="1600"/>
      <c r="BY12" s="1601">
        <f>'SMMR-Calcs'!H17</f>
        <v>28.144270562022253</v>
      </c>
      <c r="BZ12" s="1602">
        <f>'SMMR-Calcs'!K17</f>
        <v>14.618029029793735</v>
      </c>
      <c r="CA12" s="1602">
        <f>'SMMR-Calcs'!L17</f>
        <v>90.517960000000002</v>
      </c>
      <c r="CB12" s="1603">
        <f>'SMMR-Calcs'!M17</f>
        <v>72.053939999999997</v>
      </c>
      <c r="CC12" s="1604">
        <f>'SMMR-Calcs'!S17</f>
        <v>36.908456231643143</v>
      </c>
      <c r="CD12" s="1605">
        <f>'SMMR-Calcs'!R17</f>
        <v>6.6341932324710959E-2</v>
      </c>
      <c r="CE12" s="1606">
        <f>'SMMR-Calcs'!AS17</f>
        <v>1034.456329742929</v>
      </c>
      <c r="CF12" s="1607">
        <f>'SMMR-Calcs'!AT17</f>
        <v>0.21750586574207789</v>
      </c>
      <c r="CG12" s="1608">
        <f>'SMMR-Calcs'!AV17</f>
        <v>3351.6385083670898</v>
      </c>
      <c r="CH12" s="1584"/>
      <c r="CI12" s="1737">
        <f>$BM$67</f>
        <v>7</v>
      </c>
      <c r="CJ12" s="1585"/>
      <c r="CK12" s="1585"/>
      <c r="CL12" s="1585"/>
      <c r="CM12" s="1585"/>
      <c r="CN12" s="1585"/>
      <c r="CO12" s="1585"/>
      <c r="CP12" s="1585"/>
      <c r="CQ12" s="1737">
        <f>$BM$67</f>
        <v>7</v>
      </c>
      <c r="CR12" s="1538"/>
      <c r="CS12" s="1538"/>
      <c r="CT12" s="1610">
        <f t="shared" si="21"/>
        <v>56</v>
      </c>
      <c r="CU12" s="1611">
        <f t="shared" si="22"/>
        <v>17</v>
      </c>
      <c r="CV12" s="1612">
        <f t="shared" si="23"/>
        <v>100</v>
      </c>
      <c r="CW12" s="19">
        <f t="shared" si="24"/>
        <v>1759</v>
      </c>
      <c r="CX12" s="1100">
        <f t="shared" si="25"/>
        <v>536.14319999999998</v>
      </c>
      <c r="CY12" s="1584"/>
      <c r="CZ12" s="1601">
        <f>'WNTR-Calcs'!H17</f>
        <v>28.144270562022253</v>
      </c>
      <c r="DA12" s="1602">
        <f>'WNTR-Calcs'!K17</f>
        <v>24.427043544690605</v>
      </c>
      <c r="DB12" s="1602">
        <f>'WNTR-Calcs'!L17</f>
        <v>-24.482039999999998</v>
      </c>
      <c r="DC12" s="1603">
        <f>'WNTR-Calcs'!M17</f>
        <v>-22.946059999999999</v>
      </c>
      <c r="DD12" s="1604">
        <f>'WNTR-Calcs'!S17</f>
        <v>-5.1905694783621206</v>
      </c>
      <c r="DE12" s="1605">
        <f>'WNTR-Calcs'!R17</f>
        <v>8.5641401366926245E-2</v>
      </c>
      <c r="DF12" s="1606">
        <f>'WNTR-Calcs'!AS17</f>
        <v>-3796.2681088734412</v>
      </c>
      <c r="DG12" s="1607">
        <f>'WNTR-Calcs'!AT17</f>
        <v>-0.79820728808798969</v>
      </c>
      <c r="DH12" s="1608">
        <f>'WNTR-Calcs'!AV17</f>
        <v>-12299.908672749949</v>
      </c>
      <c r="DI12" s="1584"/>
      <c r="DJ12" s="1737">
        <f>$BM$67</f>
        <v>7</v>
      </c>
      <c r="DK12" s="1585"/>
      <c r="DL12" s="1585"/>
      <c r="DM12" s="1585"/>
      <c r="DN12" s="1585"/>
      <c r="DO12" s="1585"/>
      <c r="DP12" s="1585"/>
      <c r="DQ12" s="1585"/>
      <c r="DR12" s="1737">
        <f>$BM$67</f>
        <v>7</v>
      </c>
      <c r="DS12" s="1520"/>
    </row>
    <row r="13" spans="1:123" ht="18" customHeight="1" thickTop="1" thickBot="1">
      <c r="B13" s="758"/>
      <c r="C13" s="731" t="s">
        <v>715</v>
      </c>
      <c r="E13" s="755"/>
      <c r="F13" s="755"/>
      <c r="G13" s="755"/>
      <c r="H13" s="755"/>
      <c r="I13" s="755"/>
      <c r="J13" s="755"/>
      <c r="K13" s="755"/>
      <c r="L13" s="731" t="s">
        <v>716</v>
      </c>
      <c r="N13" s="760"/>
      <c r="Q13" s="755"/>
      <c r="R13" s="755"/>
      <c r="S13" s="755"/>
      <c r="T13" s="731" t="s">
        <v>717</v>
      </c>
      <c r="U13" s="755"/>
      <c r="V13" s="755"/>
      <c r="W13" s="755"/>
      <c r="Z13" s="755"/>
      <c r="AA13" s="836"/>
      <c r="AB13" s="836"/>
      <c r="AC13" s="836"/>
      <c r="AD13" s="836"/>
      <c r="AE13" s="755"/>
      <c r="AF13" s="759"/>
      <c r="AG13" s="760"/>
      <c r="AH13" s="760"/>
      <c r="AI13" s="760"/>
      <c r="AJ13" s="760"/>
      <c r="AK13" s="760"/>
      <c r="AL13" s="755"/>
      <c r="AM13" s="755"/>
      <c r="AN13" s="755"/>
      <c r="AO13" s="755"/>
      <c r="AP13" s="755"/>
      <c r="AQ13" s="784"/>
      <c r="AR13" s="819"/>
      <c r="AS13" s="833"/>
      <c r="AT13" s="833"/>
      <c r="AU13" s="833"/>
      <c r="AV13" s="834"/>
      <c r="AW13" s="731"/>
      <c r="BK13" s="1617">
        <f t="shared" si="11"/>
        <v>55</v>
      </c>
      <c r="BL13" s="1614">
        <v>15</v>
      </c>
      <c r="BM13" s="1615">
        <f t="shared" si="12"/>
        <v>98</v>
      </c>
      <c r="BN13" s="1620">
        <f t="shared" si="13"/>
        <v>1739</v>
      </c>
      <c r="BO13" s="1616">
        <f t="shared" si="27"/>
        <v>530.04719999999998</v>
      </c>
      <c r="BP13" s="1146">
        <f t="shared" si="28"/>
        <v>1</v>
      </c>
      <c r="BQ13" s="1533"/>
      <c r="BR13" s="1533"/>
      <c r="BS13" s="1595">
        <f t="shared" si="16"/>
        <v>55</v>
      </c>
      <c r="BT13" s="1596">
        <f t="shared" si="17"/>
        <v>15</v>
      </c>
      <c r="BU13" s="1597">
        <f t="shared" si="18"/>
        <v>98</v>
      </c>
      <c r="BV13" s="1598">
        <f t="shared" si="19"/>
        <v>1739</v>
      </c>
      <c r="BW13" s="1599">
        <f t="shared" si="20"/>
        <v>530.04719999999998</v>
      </c>
      <c r="BX13" s="1600"/>
      <c r="BY13" s="1601">
        <f>'SMMR-Calcs'!H18</f>
        <v>28.164865329127061</v>
      </c>
      <c r="BZ13" s="1602">
        <f>'SMMR-Calcs'!K18</f>
        <v>14.46524064171123</v>
      </c>
      <c r="CA13" s="1602">
        <f>'SMMR-Calcs'!L18</f>
        <v>90.589160000000007</v>
      </c>
      <c r="CB13" s="1603">
        <f>'SMMR-Calcs'!M18</f>
        <v>72.100740000000002</v>
      </c>
      <c r="CC13" s="1604">
        <f>'SMMR-Calcs'!S18</f>
        <v>36.93696485693448</v>
      </c>
      <c r="CD13" s="1605">
        <f>'SMMR-Calcs'!R18</f>
        <v>6.6380846948881023E-2</v>
      </c>
      <c r="CE13" s="1606">
        <f>'SMMR-Calcs'!AS18</f>
        <v>1006.2158300277629</v>
      </c>
      <c r="CF13" s="1607">
        <f>'SMMR-Calcs'!AT18</f>
        <v>0.21156798884681777</v>
      </c>
      <c r="CG13" s="1608">
        <f>'SMMR-Calcs'!AV18</f>
        <v>3260.1392892899521</v>
      </c>
      <c r="CH13" s="1584"/>
      <c r="CI13" s="1737">
        <f>$BM$66</f>
        <v>8</v>
      </c>
      <c r="CJ13" s="1609"/>
      <c r="CK13" s="1609"/>
      <c r="CL13" s="1609"/>
      <c r="CM13" s="1609"/>
      <c r="CN13" s="1609"/>
      <c r="CO13" s="1609"/>
      <c r="CP13" s="1609"/>
      <c r="CQ13" s="1737">
        <f>$BM$66</f>
        <v>8</v>
      </c>
      <c r="CR13" s="1538"/>
      <c r="CS13" s="1538"/>
      <c r="CT13" s="1610">
        <f t="shared" si="21"/>
        <v>55</v>
      </c>
      <c r="CU13" s="1611">
        <f t="shared" si="22"/>
        <v>15</v>
      </c>
      <c r="CV13" s="1612">
        <f t="shared" si="23"/>
        <v>98</v>
      </c>
      <c r="CW13" s="19">
        <f t="shared" si="24"/>
        <v>1739</v>
      </c>
      <c r="CX13" s="1100">
        <f t="shared" si="25"/>
        <v>530.04719999999998</v>
      </c>
      <c r="CY13" s="1584"/>
      <c r="CZ13" s="1601">
        <f>'WNTR-Calcs'!H18</f>
        <v>28.164865329127061</v>
      </c>
      <c r="DA13" s="1602">
        <f>'WNTR-Calcs'!K18</f>
        <v>24.197860962566843</v>
      </c>
      <c r="DB13" s="1602">
        <f>'WNTR-Calcs'!L18</f>
        <v>-24.41084</v>
      </c>
      <c r="DC13" s="1603">
        <f>'WNTR-Calcs'!M18</f>
        <v>-22.899259999999998</v>
      </c>
      <c r="DD13" s="1604">
        <f>'WNTR-Calcs'!S18</f>
        <v>-5.1784453381497677</v>
      </c>
      <c r="DE13" s="1605">
        <f>'WNTR-Calcs'!R18</f>
        <v>8.5690704738935169E-2</v>
      </c>
      <c r="DF13" s="1606">
        <f>'WNTR-Calcs'!AS18</f>
        <v>-3735.3344553670795</v>
      </c>
      <c r="DG13" s="1607">
        <f>'WNTR-Calcs'!AT18</f>
        <v>-0.78539531461200685</v>
      </c>
      <c r="DH13" s="1608">
        <f>'WNTR-Calcs'!AV18</f>
        <v>-12102.483635389337</v>
      </c>
      <c r="DI13" s="1584"/>
      <c r="DJ13" s="1737">
        <f>$BM$66</f>
        <v>8</v>
      </c>
      <c r="DK13" s="1609"/>
      <c r="DL13" s="1609"/>
      <c r="DM13" s="1609"/>
      <c r="DN13" s="1609"/>
      <c r="DO13" s="1609"/>
      <c r="DP13" s="1609"/>
      <c r="DQ13" s="1609"/>
      <c r="DR13" s="1737">
        <f>$BM$66</f>
        <v>8</v>
      </c>
      <c r="DS13" s="1520"/>
    </row>
    <row r="14" spans="1:123" ht="18" customHeight="1" thickTop="1">
      <c r="B14" s="758"/>
      <c r="E14" s="741"/>
      <c r="F14" s="741"/>
      <c r="G14" s="755"/>
      <c r="H14" s="755"/>
      <c r="I14" s="755"/>
      <c r="J14" s="755"/>
      <c r="K14" s="755"/>
      <c r="L14" s="755"/>
      <c r="N14" s="760"/>
      <c r="Q14" s="755"/>
      <c r="R14" s="755"/>
      <c r="S14" s="755"/>
      <c r="T14" s="836" t="s">
        <v>719</v>
      </c>
      <c r="U14" s="755"/>
      <c r="V14" s="755"/>
      <c r="W14" s="755"/>
      <c r="Z14" s="755"/>
      <c r="AA14" s="826"/>
      <c r="AB14" s="826"/>
      <c r="AC14" s="826"/>
      <c r="AD14" s="826"/>
      <c r="AE14" s="755"/>
      <c r="AF14" s="759"/>
      <c r="AG14" s="760"/>
      <c r="AH14" s="760"/>
      <c r="AI14" s="760"/>
      <c r="AJ14" s="760"/>
      <c r="AK14" s="760"/>
      <c r="AL14" s="755"/>
      <c r="AM14" s="755"/>
      <c r="AN14" s="755"/>
      <c r="AO14" s="755"/>
      <c r="AP14" s="755"/>
      <c r="AQ14" s="784"/>
      <c r="AR14" s="835"/>
      <c r="AS14" s="833"/>
      <c r="AT14" s="833"/>
      <c r="AU14" s="833"/>
      <c r="AV14" s="834"/>
      <c r="AW14" s="731"/>
      <c r="AY14" s="1361"/>
      <c r="AZ14" s="1362"/>
      <c r="BA14" s="1363" t="s">
        <v>741</v>
      </c>
      <c r="BB14" s="1364" t="s">
        <v>739</v>
      </c>
      <c r="BC14" s="1365" t="s">
        <v>738</v>
      </c>
      <c r="BD14" s="1365" t="s">
        <v>737</v>
      </c>
      <c r="BE14" s="1365" t="s">
        <v>736</v>
      </c>
      <c r="BF14" s="1365" t="s">
        <v>735</v>
      </c>
      <c r="BG14" s="1365" t="s">
        <v>734</v>
      </c>
      <c r="BH14" s="1365" t="s">
        <v>733</v>
      </c>
      <c r="BI14" s="1366" t="s">
        <v>732</v>
      </c>
      <c r="BK14" s="1617">
        <f t="shared" si="11"/>
        <v>54</v>
      </c>
      <c r="BL14" s="1614">
        <f>BL15+2</f>
        <v>13</v>
      </c>
      <c r="BM14" s="1615">
        <f t="shared" si="12"/>
        <v>96</v>
      </c>
      <c r="BN14" s="1620">
        <f t="shared" si="13"/>
        <v>1719</v>
      </c>
      <c r="BO14" s="1616">
        <f t="shared" si="27"/>
        <v>523.95119999999997</v>
      </c>
      <c r="BP14" s="1146">
        <f t="shared" si="28"/>
        <v>1</v>
      </c>
      <c r="BQ14" s="1533"/>
      <c r="BR14" s="1533"/>
      <c r="BS14" s="1595">
        <f t="shared" si="16"/>
        <v>54</v>
      </c>
      <c r="BT14" s="1596">
        <f t="shared" si="17"/>
        <v>13</v>
      </c>
      <c r="BU14" s="1597">
        <f t="shared" si="18"/>
        <v>96</v>
      </c>
      <c r="BV14" s="1598">
        <f t="shared" si="19"/>
        <v>1719</v>
      </c>
      <c r="BW14" s="1599">
        <f t="shared" si="20"/>
        <v>523.95119999999997</v>
      </c>
      <c r="BX14" s="1600"/>
      <c r="BY14" s="1601">
        <f>'SMMR-Calcs'!H19</f>
        <v>28.185472297356597</v>
      </c>
      <c r="BZ14" s="1602">
        <f>'SMMR-Calcs'!K19</f>
        <v>14.312452253628724</v>
      </c>
      <c r="CA14" s="1602">
        <f>'SMMR-Calcs'!L19</f>
        <v>90.660359999999997</v>
      </c>
      <c r="CB14" s="1603">
        <f>'SMMR-Calcs'!M19</f>
        <v>72.147540000000006</v>
      </c>
      <c r="CC14" s="1604">
        <f>'SMMR-Calcs'!S19</f>
        <v>36.965484827223641</v>
      </c>
      <c r="CD14" s="1605">
        <f>'SMMR-Calcs'!R19</f>
        <v>6.6419777749883516E-2</v>
      </c>
      <c r="CE14" s="1606">
        <f>'SMMR-Calcs'!AS19</f>
        <v>976.82361106606447</v>
      </c>
      <c r="CF14" s="1607">
        <f>'SMMR-Calcs'!AT19</f>
        <v>0.20538795026274953</v>
      </c>
      <c r="CG14" s="1608">
        <f>'SMMR-Calcs'!AV19</f>
        <v>3164.9084998540493</v>
      </c>
      <c r="CH14" s="1584"/>
      <c r="CI14" s="1737">
        <f>$BM$65</f>
        <v>9</v>
      </c>
      <c r="CJ14" s="1609"/>
      <c r="CK14" s="1609"/>
      <c r="CL14" s="1609"/>
      <c r="CM14" s="1609"/>
      <c r="CN14" s="1609"/>
      <c r="CO14" s="1609"/>
      <c r="CP14" s="1609"/>
      <c r="CQ14" s="1737">
        <f>$BM$65</f>
        <v>9</v>
      </c>
      <c r="CR14" s="1538"/>
      <c r="CS14" s="1538"/>
      <c r="CT14" s="1610">
        <f t="shared" si="21"/>
        <v>54</v>
      </c>
      <c r="CU14" s="1611">
        <f t="shared" si="22"/>
        <v>13</v>
      </c>
      <c r="CV14" s="1612">
        <f t="shared" si="23"/>
        <v>96</v>
      </c>
      <c r="CW14" s="19">
        <f t="shared" si="24"/>
        <v>1719</v>
      </c>
      <c r="CX14" s="1100">
        <f t="shared" si="25"/>
        <v>523.95119999999997</v>
      </c>
      <c r="CY14" s="1584"/>
      <c r="CZ14" s="1601">
        <f>'WNTR-Calcs'!H19</f>
        <v>28.185472297356597</v>
      </c>
      <c r="DA14" s="1602">
        <f>'WNTR-Calcs'!K19</f>
        <v>23.968678380443087</v>
      </c>
      <c r="DB14" s="1602">
        <f>'WNTR-Calcs'!L19</f>
        <v>-24.339639999999999</v>
      </c>
      <c r="DC14" s="1603">
        <f>'WNTR-Calcs'!M19</f>
        <v>-22.852460000000001</v>
      </c>
      <c r="DD14" s="1604">
        <f>'WNTR-Calcs'!S19</f>
        <v>-5.166320821637445</v>
      </c>
      <c r="DE14" s="1605">
        <f>'WNTR-Calcs'!R19</f>
        <v>8.5740029976723198E-2</v>
      </c>
      <c r="DF14" s="1606">
        <f>'WNTR-Calcs'!AS19</f>
        <v>-3673.4828350792482</v>
      </c>
      <c r="DG14" s="1607">
        <f>'WNTR-Calcs'!AT19</f>
        <v>-0.77239032848407796</v>
      </c>
      <c r="DH14" s="1608">
        <f>'WNTR-Calcs'!AV19</f>
        <v>-11902.084385656764</v>
      </c>
      <c r="DI14" s="1584"/>
      <c r="DJ14" s="1737">
        <f>$BM$65</f>
        <v>9</v>
      </c>
      <c r="DK14" s="1609"/>
      <c r="DL14" s="1609"/>
      <c r="DM14" s="1609"/>
      <c r="DN14" s="1609"/>
      <c r="DO14" s="1609"/>
      <c r="DP14" s="1609"/>
      <c r="DQ14" s="1609"/>
      <c r="DR14" s="1737">
        <f>$BM$65</f>
        <v>9</v>
      </c>
      <c r="DS14" s="1520"/>
    </row>
    <row r="15" spans="1:123" ht="18" customHeight="1" thickBot="1">
      <c r="B15" s="839"/>
      <c r="C15" s="840"/>
      <c r="D15" s="840"/>
      <c r="E15" s="840"/>
      <c r="F15" s="840"/>
      <c r="G15" s="840"/>
      <c r="H15" s="840"/>
      <c r="I15" s="840"/>
      <c r="J15" s="840"/>
      <c r="K15" s="840"/>
      <c r="L15" s="840"/>
      <c r="M15" s="840"/>
      <c r="N15" s="921"/>
      <c r="O15" s="840"/>
      <c r="P15" s="840"/>
      <c r="Q15" s="840"/>
      <c r="R15" s="840"/>
      <c r="S15" s="840"/>
      <c r="T15" s="840"/>
      <c r="U15" s="840"/>
      <c r="V15" s="840"/>
      <c r="W15" s="840"/>
      <c r="X15" s="840"/>
      <c r="Y15" s="840"/>
      <c r="Z15" s="840"/>
      <c r="AA15" s="840"/>
      <c r="AB15" s="840"/>
      <c r="AC15" s="840"/>
      <c r="AD15" s="840"/>
      <c r="AE15" s="953"/>
      <c r="AF15" s="954"/>
      <c r="AG15" s="760"/>
      <c r="AH15" s="760"/>
      <c r="AI15" s="760"/>
      <c r="AJ15" s="760"/>
      <c r="AK15" s="760"/>
      <c r="AL15" s="755"/>
      <c r="AM15" s="755"/>
      <c r="AN15" s="755"/>
      <c r="AO15" s="755"/>
      <c r="AP15" s="755"/>
      <c r="AQ15" s="784"/>
      <c r="AR15" s="819"/>
      <c r="AS15" s="837"/>
      <c r="AT15" s="837"/>
      <c r="AU15" s="837"/>
      <c r="AV15" s="838"/>
      <c r="AW15" s="836"/>
      <c r="AY15" s="1367"/>
      <c r="AZ15" s="1368"/>
      <c r="BA15" s="1369" t="s">
        <v>740</v>
      </c>
      <c r="BB15" s="1370" t="s">
        <v>90</v>
      </c>
      <c r="BC15" s="1371" t="s">
        <v>89</v>
      </c>
      <c r="BD15" s="1371" t="s">
        <v>91</v>
      </c>
      <c r="BE15" s="1371" t="s">
        <v>92</v>
      </c>
      <c r="BF15" s="1371" t="s">
        <v>96</v>
      </c>
      <c r="BG15" s="1371" t="s">
        <v>93</v>
      </c>
      <c r="BH15" s="1371" t="s">
        <v>94</v>
      </c>
      <c r="BI15" s="1372" t="s">
        <v>95</v>
      </c>
      <c r="BK15" s="1617">
        <f t="shared" si="11"/>
        <v>53</v>
      </c>
      <c r="BL15" s="1614">
        <f>BL16+2</f>
        <v>11</v>
      </c>
      <c r="BM15" s="1615">
        <f t="shared" si="12"/>
        <v>94</v>
      </c>
      <c r="BN15" s="1620">
        <f t="shared" si="13"/>
        <v>1699</v>
      </c>
      <c r="BO15" s="1616">
        <f t="shared" si="27"/>
        <v>517.85520000000008</v>
      </c>
      <c r="BP15" s="1146">
        <f t="shared" si="28"/>
        <v>1</v>
      </c>
      <c r="BQ15" s="1533"/>
      <c r="BR15" s="1533"/>
      <c r="BS15" s="1595">
        <f t="shared" si="16"/>
        <v>53</v>
      </c>
      <c r="BT15" s="1596">
        <f t="shared" si="17"/>
        <v>11</v>
      </c>
      <c r="BU15" s="1597">
        <f t="shared" si="18"/>
        <v>94</v>
      </c>
      <c r="BV15" s="1598">
        <f t="shared" si="19"/>
        <v>1699</v>
      </c>
      <c r="BW15" s="1599">
        <f t="shared" si="20"/>
        <v>517.85520000000008</v>
      </c>
      <c r="BX15" s="1600"/>
      <c r="BY15" s="1601">
        <f>'SMMR-Calcs'!H20</f>
        <v>28.206091472239876</v>
      </c>
      <c r="BZ15" s="1602">
        <f>'SMMR-Calcs'!K20</f>
        <v>14.159663865546218</v>
      </c>
      <c r="CA15" s="1602">
        <f>'SMMR-Calcs'!L20</f>
        <v>90.731560000000002</v>
      </c>
      <c r="CB15" s="1603">
        <f>'SMMR-Calcs'!M20</f>
        <v>72.194339999999997</v>
      </c>
      <c r="CC15" s="1604">
        <f>'SMMR-Calcs'!S20</f>
        <v>36.994016147310944</v>
      </c>
      <c r="CD15" s="1605">
        <f>'SMMR-Calcs'!R20</f>
        <v>6.6458724730682622E-2</v>
      </c>
      <c r="CE15" s="1606">
        <f>'SMMR-Calcs'!AS20</f>
        <v>946.172346948155</v>
      </c>
      <c r="CF15" s="1607">
        <f>'SMMR-Calcs'!AT20</f>
        <v>0.198943183532276</v>
      </c>
      <c r="CG15" s="1608">
        <f>'SMMR-Calcs'!AV20</f>
        <v>3065.5984041120223</v>
      </c>
      <c r="CH15" s="1584"/>
      <c r="CI15" s="1737">
        <f>$BM$64</f>
        <v>10</v>
      </c>
      <c r="CJ15" s="1609"/>
      <c r="CK15" s="1609"/>
      <c r="CL15" s="1609"/>
      <c r="CM15" s="1609"/>
      <c r="CN15" s="1609"/>
      <c r="CO15" s="1609"/>
      <c r="CP15" s="1609"/>
      <c r="CQ15" s="1737">
        <f>$BM$64</f>
        <v>10</v>
      </c>
      <c r="CR15" s="1538"/>
      <c r="CS15" s="1538"/>
      <c r="CT15" s="1610">
        <f t="shared" si="21"/>
        <v>53</v>
      </c>
      <c r="CU15" s="1611">
        <f t="shared" si="22"/>
        <v>11</v>
      </c>
      <c r="CV15" s="1612">
        <f t="shared" si="23"/>
        <v>94</v>
      </c>
      <c r="CW15" s="19">
        <f t="shared" si="24"/>
        <v>1699</v>
      </c>
      <c r="CX15" s="1100">
        <f t="shared" si="25"/>
        <v>517.85520000000008</v>
      </c>
      <c r="CY15" s="1584"/>
      <c r="CZ15" s="1601">
        <f>'WNTR-Calcs'!H20</f>
        <v>28.206091472239876</v>
      </c>
      <c r="DA15" s="1602">
        <f>'WNTR-Calcs'!K20</f>
        <v>23.739495798319325</v>
      </c>
      <c r="DB15" s="1602">
        <f>'WNTR-Calcs'!L20</f>
        <v>-24.268439999999998</v>
      </c>
      <c r="DC15" s="1603">
        <f>'WNTR-Calcs'!M20</f>
        <v>-22.80566</v>
      </c>
      <c r="DD15" s="1604">
        <f>'WNTR-Calcs'!S20</f>
        <v>-5.154195927842383</v>
      </c>
      <c r="DE15" s="1605">
        <f>'WNTR-Calcs'!R20</f>
        <v>8.5789377086931878E-2</v>
      </c>
      <c r="DF15" s="1606">
        <f>'WNTR-Calcs'!AS20</f>
        <v>-3610.6660732767082</v>
      </c>
      <c r="DG15" s="1607">
        <f>'WNTR-Calcs'!AT20</f>
        <v>-0.75918241069563852</v>
      </c>
      <c r="DH15" s="1608">
        <f>'WNTR-Calcs'!AV20</f>
        <v>-11698.558077416536</v>
      </c>
      <c r="DI15" s="1584"/>
      <c r="DJ15" s="1737">
        <f>$BM$64</f>
        <v>10</v>
      </c>
      <c r="DK15" s="1609"/>
      <c r="DL15" s="1609"/>
      <c r="DM15" s="1609"/>
      <c r="DN15" s="1609"/>
      <c r="DO15" s="1609"/>
      <c r="DP15" s="1609"/>
      <c r="DQ15" s="1609"/>
      <c r="DR15" s="1737">
        <f>$BM$64</f>
        <v>10</v>
      </c>
      <c r="DS15" s="1520"/>
    </row>
    <row r="16" spans="1:123" ht="18" customHeight="1" thickTop="1">
      <c r="B16" s="758"/>
      <c r="C16" s="755"/>
      <c r="D16" s="949" t="s">
        <v>831</v>
      </c>
      <c r="E16" s="753"/>
      <c r="F16" s="753"/>
      <c r="H16" s="753"/>
      <c r="I16" s="753"/>
      <c r="J16" s="753"/>
      <c r="K16" s="950" t="s">
        <v>832</v>
      </c>
      <c r="L16" s="753"/>
      <c r="M16" s="753"/>
      <c r="N16" s="753"/>
      <c r="O16" s="938"/>
      <c r="P16" s="760"/>
      <c r="Q16" s="755"/>
      <c r="R16" s="755"/>
      <c r="S16" s="755"/>
      <c r="T16" s="755"/>
      <c r="U16" s="755"/>
      <c r="V16" s="755"/>
      <c r="W16" s="817"/>
      <c r="X16" s="817"/>
      <c r="Y16" s="817"/>
      <c r="Z16" s="759"/>
      <c r="AA16" s="850"/>
      <c r="AB16" s="922"/>
      <c r="AC16" s="949" t="s">
        <v>851</v>
      </c>
      <c r="AD16" s="922"/>
      <c r="AE16" s="922"/>
      <c r="AF16" s="922"/>
      <c r="AG16" s="754"/>
      <c r="AH16" s="754"/>
      <c r="AI16" s="755"/>
      <c r="AJ16" s="755"/>
      <c r="AK16" s="755"/>
      <c r="AL16" s="755"/>
      <c r="AM16" s="755"/>
      <c r="AN16" s="755"/>
      <c r="AO16" s="755"/>
      <c r="AP16" s="755"/>
      <c r="AQ16" s="784"/>
      <c r="AR16" s="819"/>
      <c r="AS16" s="837"/>
      <c r="AT16" s="837"/>
      <c r="AU16" s="837"/>
      <c r="AV16" s="838"/>
      <c r="AW16" s="826"/>
      <c r="AY16" s="1373"/>
      <c r="AZ16" s="1374"/>
      <c r="BA16" s="1304" t="s">
        <v>2</v>
      </c>
      <c r="BB16" s="1375">
        <v>320</v>
      </c>
      <c r="BC16" s="1376">
        <v>280</v>
      </c>
      <c r="BD16" s="1376">
        <v>240</v>
      </c>
      <c r="BE16" s="1376">
        <v>220</v>
      </c>
      <c r="BF16" s="1376">
        <v>200</v>
      </c>
      <c r="BG16" s="1376">
        <v>180</v>
      </c>
      <c r="BH16" s="1376">
        <v>180</v>
      </c>
      <c r="BI16" s="1377">
        <v>180</v>
      </c>
      <c r="BK16" s="1617">
        <f t="shared" si="11"/>
        <v>52</v>
      </c>
      <c r="BL16" s="1614">
        <f>BL17+2</f>
        <v>9</v>
      </c>
      <c r="BM16" s="1615">
        <f t="shared" si="12"/>
        <v>92</v>
      </c>
      <c r="BN16" s="1620">
        <f t="shared" si="13"/>
        <v>1679</v>
      </c>
      <c r="BO16" s="1616">
        <f t="shared" si="27"/>
        <v>511.75920000000002</v>
      </c>
      <c r="BP16" s="1146">
        <f t="shared" si="28"/>
        <v>1</v>
      </c>
      <c r="BQ16" s="1533"/>
      <c r="BR16" s="1533"/>
      <c r="BS16" s="1595">
        <f t="shared" si="16"/>
        <v>52</v>
      </c>
      <c r="BT16" s="1596">
        <f t="shared" si="17"/>
        <v>9</v>
      </c>
      <c r="BU16" s="1597">
        <f t="shared" si="18"/>
        <v>92</v>
      </c>
      <c r="BV16" s="1598">
        <f t="shared" si="19"/>
        <v>1679</v>
      </c>
      <c r="BW16" s="1599">
        <f t="shared" si="20"/>
        <v>511.75920000000002</v>
      </c>
      <c r="BX16" s="1584"/>
      <c r="BY16" s="1601">
        <f>'SMMR-Calcs'!H21</f>
        <v>28.226722859307682</v>
      </c>
      <c r="BZ16" s="1602">
        <f>'SMMR-Calcs'!K21</f>
        <v>14.006875477463712</v>
      </c>
      <c r="CA16" s="1602">
        <f>'SMMR-Calcs'!L21</f>
        <v>90.802760000000006</v>
      </c>
      <c r="CB16" s="1603">
        <f>'SMMR-Calcs'!M21</f>
        <v>72.241140000000001</v>
      </c>
      <c r="CC16" s="1604">
        <f>'SMMR-Calcs'!S21</f>
        <v>37.022558821995069</v>
      </c>
      <c r="CD16" s="1605">
        <f>'SMMR-Calcs'!R21</f>
        <v>6.649768789424132E-2</v>
      </c>
      <c r="CE16" s="1606">
        <f>'SMMR-Calcs'!AS21</f>
        <v>914.13539803952176</v>
      </c>
      <c r="CF16" s="1607">
        <f>'SMMR-Calcs'!AT21</f>
        <v>0.19220706127389256</v>
      </c>
      <c r="CG16" s="1608">
        <f>'SMMR-Calcs'!AV21</f>
        <v>2961.7986896480506</v>
      </c>
      <c r="CH16" s="1584"/>
      <c r="CI16" s="1737">
        <f>$BM$63</f>
        <v>11</v>
      </c>
      <c r="CJ16" s="1609"/>
      <c r="CK16" s="1609"/>
      <c r="CL16" s="1609"/>
      <c r="CM16" s="1609"/>
      <c r="CN16" s="1609"/>
      <c r="CO16" s="1609"/>
      <c r="CP16" s="1609"/>
      <c r="CQ16" s="1737">
        <f>$BM$63</f>
        <v>11</v>
      </c>
      <c r="CR16" s="1538"/>
      <c r="CS16" s="1538"/>
      <c r="CT16" s="1610">
        <f t="shared" si="21"/>
        <v>52</v>
      </c>
      <c r="CU16" s="1611">
        <f t="shared" si="22"/>
        <v>9</v>
      </c>
      <c r="CV16" s="1612">
        <f t="shared" si="23"/>
        <v>92</v>
      </c>
      <c r="CW16" s="19">
        <f t="shared" si="24"/>
        <v>1679</v>
      </c>
      <c r="CX16" s="1100">
        <f t="shared" si="25"/>
        <v>511.75920000000002</v>
      </c>
      <c r="CY16" s="1584"/>
      <c r="CZ16" s="1601">
        <f>'WNTR-Calcs'!H21</f>
        <v>28.226722859307682</v>
      </c>
      <c r="DA16" s="1602">
        <f>'WNTR-Calcs'!K21</f>
        <v>23.51031321619557</v>
      </c>
      <c r="DB16" s="1602">
        <f>'WNTR-Calcs'!L21</f>
        <v>-24.197240000000001</v>
      </c>
      <c r="DC16" s="1603">
        <f>'WNTR-Calcs'!M21</f>
        <v>-22.758859999999999</v>
      </c>
      <c r="DD16" s="1604">
        <f>'WNTR-Calcs'!S21</f>
        <v>-5.1420706557810369</v>
      </c>
      <c r="DE16" s="1605">
        <f>'WNTR-Calcs'!R21</f>
        <v>8.5838746076203676E-2</v>
      </c>
      <c r="DF16" s="1606">
        <f>'WNTR-Calcs'!AS21</f>
        <v>-3546.8328904073205</v>
      </c>
      <c r="DG16" s="1607">
        <f>'WNTR-Calcs'!AT21</f>
        <v>-0.74576077915462524</v>
      </c>
      <c r="DH16" s="1608">
        <f>'WNTR-Calcs'!AV21</f>
        <v>-11491.73856491972</v>
      </c>
      <c r="DI16" s="1584"/>
      <c r="DJ16" s="1737">
        <f>$BM$63</f>
        <v>11</v>
      </c>
      <c r="DK16" s="1609"/>
      <c r="DL16" s="1609"/>
      <c r="DM16" s="1609"/>
      <c r="DN16" s="1609"/>
      <c r="DO16" s="1609"/>
      <c r="DP16" s="1609"/>
      <c r="DQ16" s="1609"/>
      <c r="DR16" s="1737">
        <f>$BM$63</f>
        <v>11</v>
      </c>
      <c r="DS16" s="1520"/>
    </row>
    <row r="17" spans="2:123" ht="18" customHeight="1" thickBot="1">
      <c r="B17" s="793"/>
      <c r="C17" s="802"/>
      <c r="D17" s="797"/>
      <c r="E17" s="939"/>
      <c r="F17" s="802"/>
      <c r="G17" s="802"/>
      <c r="H17" s="802"/>
      <c r="I17" s="802"/>
      <c r="J17" s="802"/>
      <c r="K17" s="802"/>
      <c r="L17" s="957"/>
      <c r="M17" s="957"/>
      <c r="N17" s="802"/>
      <c r="O17" s="940"/>
      <c r="P17" s="934"/>
      <c r="Q17" s="802"/>
      <c r="R17" s="802"/>
      <c r="S17" s="802"/>
      <c r="T17" s="755"/>
      <c r="U17" s="817"/>
      <c r="V17" s="817"/>
      <c r="W17" s="817"/>
      <c r="X17" s="755"/>
      <c r="Y17" s="755"/>
      <c r="Z17" s="759"/>
      <c r="AA17" s="760"/>
      <c r="AB17" s="966"/>
      <c r="AC17" s="971"/>
      <c r="AD17" s="971"/>
      <c r="AE17" s="971"/>
      <c r="AF17" s="971"/>
      <c r="AG17" s="966"/>
      <c r="AH17" s="1209"/>
      <c r="AI17" s="755"/>
      <c r="AJ17" s="755"/>
      <c r="AK17" s="755"/>
      <c r="AL17" s="755"/>
      <c r="AM17" s="755"/>
      <c r="AN17" s="755"/>
      <c r="AO17" s="755"/>
      <c r="AP17" s="755"/>
      <c r="AQ17" s="784"/>
      <c r="AR17" s="819"/>
      <c r="AS17" s="837"/>
      <c r="AT17" s="837"/>
      <c r="AU17" s="837"/>
      <c r="AV17" s="838"/>
      <c r="AW17" s="841"/>
      <c r="AY17" s="1378"/>
      <c r="AZ17" s="1379"/>
      <c r="BA17" s="1380" t="s">
        <v>3</v>
      </c>
      <c r="BB17" s="1381">
        <v>240</v>
      </c>
      <c r="BC17" s="1382">
        <v>200</v>
      </c>
      <c r="BD17" s="1382">
        <v>160</v>
      </c>
      <c r="BE17" s="1382">
        <v>140</v>
      </c>
      <c r="BF17" s="1382">
        <v>120</v>
      </c>
      <c r="BG17" s="1382">
        <v>100</v>
      </c>
      <c r="BH17" s="1382">
        <v>100</v>
      </c>
      <c r="BI17" s="1383">
        <v>100</v>
      </c>
      <c r="BK17" s="1617">
        <f t="shared" si="11"/>
        <v>51</v>
      </c>
      <c r="BL17" s="1614">
        <f>BL18+2</f>
        <v>7</v>
      </c>
      <c r="BM17" s="1615">
        <f t="shared" si="12"/>
        <v>90</v>
      </c>
      <c r="BN17" s="1620">
        <f t="shared" si="13"/>
        <v>1659</v>
      </c>
      <c r="BO17" s="1616">
        <f t="shared" si="27"/>
        <v>505.66320000000002</v>
      </c>
      <c r="BP17" s="1146">
        <f t="shared" si="28"/>
        <v>1</v>
      </c>
      <c r="BS17" s="1595">
        <f t="shared" si="16"/>
        <v>51</v>
      </c>
      <c r="BT17" s="1596">
        <f t="shared" si="17"/>
        <v>7</v>
      </c>
      <c r="BU17" s="1597">
        <f t="shared" si="18"/>
        <v>90</v>
      </c>
      <c r="BV17" s="1598">
        <f t="shared" si="19"/>
        <v>1659</v>
      </c>
      <c r="BW17" s="1599">
        <f t="shared" si="20"/>
        <v>505.66320000000002</v>
      </c>
      <c r="BX17" s="1584"/>
      <c r="BY17" s="1601">
        <f>'SMMR-Calcs'!H22</f>
        <v>28.247366464092543</v>
      </c>
      <c r="BZ17" s="1602">
        <f>'SMMR-Calcs'!K22</f>
        <v>13.854087089381206</v>
      </c>
      <c r="CA17" s="1602">
        <f>'SMMR-Calcs'!L22</f>
        <v>90.873959999999997</v>
      </c>
      <c r="CB17" s="1603">
        <f>'SMMR-Calcs'!M22</f>
        <v>72.287940000000006</v>
      </c>
      <c r="CC17" s="1604">
        <f>'SMMR-Calcs'!S22</f>
        <v>37.051112856075797</v>
      </c>
      <c r="CD17" s="1605">
        <f>'SMMR-Calcs'!R22</f>
        <v>6.6536667243521058E-2</v>
      </c>
      <c r="CE17" s="1606">
        <f>'SMMR-Calcs'!AS22</f>
        <v>880.56153388900862</v>
      </c>
      <c r="CF17" s="1607">
        <f>'SMMR-Calcs'!AT22</f>
        <v>0.18514778561536474</v>
      </c>
      <c r="CG17" s="1608">
        <f>'SMMR-Calcs'!AV22</f>
        <v>2853.0193698003877</v>
      </c>
      <c r="CH17" s="1584"/>
      <c r="CI17" s="1737">
        <f>$BM$62</f>
        <v>12</v>
      </c>
      <c r="CJ17" s="1585"/>
      <c r="CK17" s="1585"/>
      <c r="CL17" s="1585"/>
      <c r="CM17" s="1585"/>
      <c r="CN17" s="1585"/>
      <c r="CO17" s="1585"/>
      <c r="CP17" s="1585"/>
      <c r="CQ17" s="1737">
        <f>$BM$62</f>
        <v>12</v>
      </c>
      <c r="CR17" s="1538"/>
      <c r="CS17" s="1538"/>
      <c r="CT17" s="1610">
        <f t="shared" si="21"/>
        <v>51</v>
      </c>
      <c r="CU17" s="1611">
        <f t="shared" si="22"/>
        <v>7</v>
      </c>
      <c r="CV17" s="1612">
        <f t="shared" si="23"/>
        <v>90</v>
      </c>
      <c r="CW17" s="19">
        <f t="shared" si="24"/>
        <v>1659</v>
      </c>
      <c r="CX17" s="1100">
        <f t="shared" si="25"/>
        <v>505.66320000000002</v>
      </c>
      <c r="CY17" s="1584"/>
      <c r="CZ17" s="1601">
        <f>'WNTR-Calcs'!H22</f>
        <v>28.247366464092543</v>
      </c>
      <c r="DA17" s="1602">
        <f>'WNTR-Calcs'!K22</f>
        <v>23.281130634071811</v>
      </c>
      <c r="DB17" s="1602">
        <f>'WNTR-Calcs'!L22</f>
        <v>-24.12604</v>
      </c>
      <c r="DC17" s="1603">
        <f>'WNTR-Calcs'!M22</f>
        <v>-22.712060000000001</v>
      </c>
      <c r="DD17" s="1604">
        <f>'WNTR-Calcs'!S22</f>
        <v>-5.1299450044690778</v>
      </c>
      <c r="DE17" s="1605">
        <f>'WNTR-Calcs'!R22</f>
        <v>8.5888136951181859E-2</v>
      </c>
      <c r="DF17" s="1606">
        <f>'WNTR-Calcs'!AS22</f>
        <v>-3481.9273856109053</v>
      </c>
      <c r="DG17" s="1607">
        <f>'WNTR-Calcs'!AT22</f>
        <v>-0.73211368008793087</v>
      </c>
      <c r="DH17" s="1608">
        <f>'WNTR-Calcs'!AV22</f>
        <v>-11281.444729379333</v>
      </c>
      <c r="DI17" s="1584"/>
      <c r="DJ17" s="1737">
        <f>$BM$62</f>
        <v>12</v>
      </c>
      <c r="DK17" s="1585"/>
      <c r="DL17" s="1585"/>
      <c r="DM17" s="1585"/>
      <c r="DN17" s="1585"/>
      <c r="DO17" s="1585"/>
      <c r="DP17" s="1585"/>
      <c r="DQ17" s="1585"/>
      <c r="DR17" s="1737">
        <f>$BM$62</f>
        <v>12</v>
      </c>
      <c r="DS17" s="1520"/>
    </row>
    <row r="18" spans="2:123" ht="18" customHeight="1" thickBot="1">
      <c r="B18" s="749"/>
      <c r="C18" s="852"/>
      <c r="D18" s="932"/>
      <c r="E18" s="941"/>
      <c r="F18" s="852"/>
      <c r="G18" s="852"/>
      <c r="H18" s="852"/>
      <c r="I18" s="852"/>
      <c r="J18" s="852"/>
      <c r="K18" s="932"/>
      <c r="L18" s="958"/>
      <c r="M18" s="959"/>
      <c r="N18" s="955"/>
      <c r="O18" s="942"/>
      <c r="P18" s="935"/>
      <c r="Q18" s="852"/>
      <c r="R18" s="852"/>
      <c r="S18" s="731"/>
      <c r="T18" s="755"/>
      <c r="U18" s="853"/>
      <c r="V18" s="853"/>
      <c r="W18" s="853"/>
      <c r="X18" s="852"/>
      <c r="Y18" s="755"/>
      <c r="Z18" s="759"/>
      <c r="AA18" s="760"/>
      <c r="AB18" s="881"/>
      <c r="AC18" s="972"/>
      <c r="AD18" s="973"/>
      <c r="AE18" s="973"/>
      <c r="AF18" s="974"/>
      <c r="AG18" s="850"/>
      <c r="AH18" s="850"/>
      <c r="AI18" s="755"/>
      <c r="AJ18" s="755"/>
      <c r="AK18" s="755"/>
      <c r="AL18" s="755"/>
      <c r="AM18" s="755"/>
      <c r="AN18" s="755"/>
      <c r="AO18" s="790"/>
      <c r="AP18" s="754"/>
      <c r="AQ18" s="842"/>
      <c r="AR18" s="819"/>
      <c r="AS18" s="920" t="s">
        <v>93</v>
      </c>
      <c r="AT18" s="837"/>
      <c r="AU18" s="837"/>
      <c r="AV18" s="838"/>
      <c r="AW18" s="756"/>
      <c r="AY18" s="2293"/>
      <c r="AZ18" s="2294"/>
      <c r="BA18" s="2294" t="s">
        <v>892</v>
      </c>
      <c r="BB18" s="2295">
        <f>BB16*BB17</f>
        <v>76800</v>
      </c>
      <c r="BC18" s="2295">
        <f t="shared" ref="BC18" si="29">BC16*BC17</f>
        <v>56000</v>
      </c>
      <c r="BD18" s="2295"/>
      <c r="BE18" s="2295"/>
      <c r="BF18" s="2295"/>
      <c r="BG18" s="2295">
        <f t="shared" ref="BG18" si="30">BG16*BG17</f>
        <v>18000</v>
      </c>
      <c r="BH18" s="2295">
        <f t="shared" ref="BH18" si="31">BH16*BH17</f>
        <v>18000</v>
      </c>
      <c r="BI18" s="2296">
        <f t="shared" ref="BI18" si="32">BI16*BI17</f>
        <v>18000</v>
      </c>
      <c r="BK18" s="1617">
        <f t="shared" si="11"/>
        <v>50</v>
      </c>
      <c r="BL18" s="1614">
        <f>BL19+2</f>
        <v>5</v>
      </c>
      <c r="BM18" s="1615">
        <f t="shared" si="12"/>
        <v>88</v>
      </c>
      <c r="BN18" s="1620">
        <f t="shared" si="13"/>
        <v>1639</v>
      </c>
      <c r="BO18" s="1616">
        <f t="shared" si="27"/>
        <v>499.56720000000001</v>
      </c>
      <c r="BP18" s="1146">
        <f t="shared" si="28"/>
        <v>1</v>
      </c>
      <c r="BS18" s="1595">
        <f t="shared" si="16"/>
        <v>50</v>
      </c>
      <c r="BT18" s="1596">
        <f t="shared" si="17"/>
        <v>5</v>
      </c>
      <c r="BU18" s="1597">
        <f t="shared" si="18"/>
        <v>88</v>
      </c>
      <c r="BV18" s="1598">
        <f t="shared" si="19"/>
        <v>1639</v>
      </c>
      <c r="BW18" s="1599">
        <f t="shared" si="20"/>
        <v>499.56720000000001</v>
      </c>
      <c r="BX18" s="1584"/>
      <c r="BY18" s="1601">
        <f>'SMMR-Calcs'!H23</f>
        <v>28.26802229212867</v>
      </c>
      <c r="BZ18" s="1602">
        <f>'SMMR-Calcs'!K23</f>
        <v>13.7012987012987</v>
      </c>
      <c r="CA18" s="1602">
        <f>'SMMR-Calcs'!L23</f>
        <v>90.945160000000001</v>
      </c>
      <c r="CB18" s="1603">
        <f>'SMMR-Calcs'!M23</f>
        <v>72.334739999999996</v>
      </c>
      <c r="CC18" s="1604">
        <f>'SMMR-Calcs'!S23</f>
        <v>37.079678254353063</v>
      </c>
      <c r="CD18" s="1605">
        <f>'SMMR-Calcs'!R23</f>
        <v>6.6575662781481693E-2</v>
      </c>
      <c r="CE18" s="1606">
        <f>'SMMR-Calcs'!AS23</f>
        <v>845.26763663801034</v>
      </c>
      <c r="CF18" s="1607">
        <f>'SMMR-Calcs'!AT23</f>
        <v>0.17772685400494284</v>
      </c>
      <c r="CG18" s="1608">
        <f>'SMMR-Calcs'!AV23</f>
        <v>2738.6671427071537</v>
      </c>
      <c r="CH18" s="1584"/>
      <c r="CI18" s="1737">
        <f>$BM$62</f>
        <v>12</v>
      </c>
      <c r="CJ18" s="1609"/>
      <c r="CK18" s="1609"/>
      <c r="CL18" s="1609"/>
      <c r="CM18" s="1609"/>
      <c r="CN18" s="1609"/>
      <c r="CO18" s="1609"/>
      <c r="CP18" s="1609"/>
      <c r="CQ18" s="1737">
        <f>$BM$62</f>
        <v>12</v>
      </c>
      <c r="CR18" s="1538"/>
      <c r="CS18" s="1538"/>
      <c r="CT18" s="1610">
        <f t="shared" si="21"/>
        <v>50</v>
      </c>
      <c r="CU18" s="1611">
        <f t="shared" si="22"/>
        <v>5</v>
      </c>
      <c r="CV18" s="1612">
        <f t="shared" si="23"/>
        <v>88</v>
      </c>
      <c r="CW18" s="19">
        <f t="shared" si="24"/>
        <v>1639</v>
      </c>
      <c r="CX18" s="1100">
        <f t="shared" si="25"/>
        <v>499.56720000000001</v>
      </c>
      <c r="CY18" s="1584"/>
      <c r="CZ18" s="1601">
        <f>'WNTR-Calcs'!H23</f>
        <v>28.26802229212867</v>
      </c>
      <c r="DA18" s="1602">
        <f>'WNTR-Calcs'!K23</f>
        <v>23.051948051948052</v>
      </c>
      <c r="DB18" s="1602">
        <f>'WNTR-Calcs'!L23</f>
        <v>-24.054839999999999</v>
      </c>
      <c r="DC18" s="1603">
        <f>'WNTR-Calcs'!M23</f>
        <v>-22.66526</v>
      </c>
      <c r="DD18" s="1604">
        <f>'WNTR-Calcs'!S23</f>
        <v>-5.1178189729214258</v>
      </c>
      <c r="DE18" s="1605">
        <f>'WNTR-Calcs'!R23</f>
        <v>8.5937549718510295E-2</v>
      </c>
      <c r="DF18" s="1606">
        <f>'WNTR-Calcs'!AS23</f>
        <v>-3415.8884336350961</v>
      </c>
      <c r="DG18" s="1607">
        <f>'WNTR-Calcs'!AT23</f>
        <v>-0.71822826123630334</v>
      </c>
      <c r="DH18" s="1608">
        <f>'WNTR-Calcs'!AV23</f>
        <v>-11067.478524977712</v>
      </c>
      <c r="DI18" s="1584"/>
      <c r="DJ18" s="1737">
        <f>$BM$62</f>
        <v>12</v>
      </c>
      <c r="DK18" s="1609"/>
      <c r="DL18" s="1609"/>
      <c r="DM18" s="1609"/>
      <c r="DN18" s="1609"/>
      <c r="DO18" s="1609"/>
      <c r="DP18" s="1609"/>
      <c r="DQ18" s="1609"/>
      <c r="DR18" s="1737">
        <f>$BM$62</f>
        <v>12</v>
      </c>
      <c r="DS18" s="1520"/>
    </row>
    <row r="19" spans="2:123" ht="18" customHeight="1">
      <c r="B19" s="809"/>
      <c r="C19" s="734"/>
      <c r="D19" s="933"/>
      <c r="E19" s="943"/>
      <c r="F19" s="734"/>
      <c r="G19" s="734"/>
      <c r="H19" s="734"/>
      <c r="I19" s="734"/>
      <c r="J19" s="734"/>
      <c r="K19" s="933"/>
      <c r="L19" s="960"/>
      <c r="M19" s="961"/>
      <c r="N19" s="956"/>
      <c r="O19" s="944"/>
      <c r="P19" s="936"/>
      <c r="Q19" s="734"/>
      <c r="R19" s="734"/>
      <c r="S19" s="755"/>
      <c r="T19" s="755"/>
      <c r="U19" s="761"/>
      <c r="V19" s="761"/>
      <c r="W19" s="851"/>
      <c r="X19" s="761"/>
      <c r="Y19" s="755"/>
      <c r="Z19" s="759"/>
      <c r="AA19" s="760"/>
      <c r="AB19" s="790"/>
      <c r="AC19" s="975"/>
      <c r="AD19" s="967"/>
      <c r="AE19" s="968"/>
      <c r="AF19" s="982"/>
      <c r="AG19" s="1925" t="s">
        <v>935</v>
      </c>
      <c r="AH19" s="760"/>
      <c r="AI19" s="755"/>
      <c r="AJ19" s="755"/>
      <c r="AK19" s="755"/>
      <c r="AL19" s="755"/>
      <c r="AM19" s="755"/>
      <c r="AN19" s="755"/>
      <c r="AO19" s="790"/>
      <c r="AR19" s="819"/>
      <c r="AS19" s="837"/>
      <c r="AT19" s="837"/>
      <c r="AU19" s="837"/>
      <c r="AV19" s="838"/>
      <c r="AY19" s="1387"/>
      <c r="AZ19" s="1388"/>
      <c r="BA19" s="1388" t="s">
        <v>893</v>
      </c>
      <c r="BB19" s="2290">
        <f xml:space="preserve"> 2*$BE$2*SQRT(BB16*BB17/$BE$2)</f>
        <v>982.39364688499484</v>
      </c>
      <c r="BC19" s="2290">
        <f t="shared" ref="BC19:BI19" si="33" xml:space="preserve"> 2*$BE$2*SQRT(BC16*BC17/$BE$2)</f>
        <v>838.87827770183674</v>
      </c>
      <c r="BD19" s="2290"/>
      <c r="BE19" s="2290"/>
      <c r="BF19" s="2290"/>
      <c r="BG19" s="2290">
        <f t="shared" si="33"/>
        <v>475.59927922569437</v>
      </c>
      <c r="BH19" s="2290">
        <f t="shared" si="33"/>
        <v>475.59927922569437</v>
      </c>
      <c r="BI19" s="2291">
        <f t="shared" si="33"/>
        <v>475.59927922569437</v>
      </c>
      <c r="BK19" s="1617">
        <f t="shared" si="11"/>
        <v>49</v>
      </c>
      <c r="BL19" s="1614">
        <f>BL21+2</f>
        <v>3</v>
      </c>
      <c r="BM19" s="1615">
        <f t="shared" si="12"/>
        <v>86</v>
      </c>
      <c r="BN19" s="1620">
        <f t="shared" si="13"/>
        <v>1619</v>
      </c>
      <c r="BO19" s="1616">
        <f t="shared" si="27"/>
        <v>493.47120000000001</v>
      </c>
      <c r="BP19" s="1146">
        <f t="shared" si="28"/>
        <v>1</v>
      </c>
      <c r="BS19" s="1595">
        <f t="shared" si="16"/>
        <v>49</v>
      </c>
      <c r="BT19" s="1596">
        <f t="shared" si="17"/>
        <v>3</v>
      </c>
      <c r="BU19" s="1597">
        <f t="shared" si="18"/>
        <v>86</v>
      </c>
      <c r="BV19" s="1598">
        <f t="shared" si="19"/>
        <v>1619</v>
      </c>
      <c r="BW19" s="1599">
        <f t="shared" si="20"/>
        <v>493.47120000000001</v>
      </c>
      <c r="BX19" s="1584"/>
      <c r="BY19" s="1601">
        <f>'SMMR-Calcs'!H24</f>
        <v>28.288690348952059</v>
      </c>
      <c r="BZ19" s="1602">
        <f>'SMMR-Calcs'!K24</f>
        <v>13.548510313216196</v>
      </c>
      <c r="CA19" s="1602">
        <f>'SMMR-Calcs'!L24</f>
        <v>91.016360000000006</v>
      </c>
      <c r="CB19" s="1603">
        <f>'SMMR-Calcs'!M24</f>
        <v>72.381540000000001</v>
      </c>
      <c r="CC19" s="1604">
        <f>'SMMR-Calcs'!S24</f>
        <v>37.108255021627059</v>
      </c>
      <c r="CD19" s="1605">
        <f>'SMMR-Calcs'!R24</f>
        <v>6.6614674511081731E-2</v>
      </c>
      <c r="CE19" s="1606">
        <f>'SMMR-Calcs'!AS24</f>
        <v>808.02834979123816</v>
      </c>
      <c r="CF19" s="1607">
        <f>'SMMR-Calcs'!AT24</f>
        <v>0.16989688275111753</v>
      </c>
      <c r="CG19" s="1608">
        <f>'SMMR-Calcs'!AV24</f>
        <v>2618.0118533236118</v>
      </c>
      <c r="CH19" s="1584"/>
      <c r="CI19" s="1525" t="str">
        <f>$BM$61</f>
        <v>3-Fin</v>
      </c>
      <c r="CJ19" s="1609"/>
      <c r="CK19" s="1609"/>
      <c r="CL19" s="1609"/>
      <c r="CM19" s="1609"/>
      <c r="CN19" s="1609"/>
      <c r="CO19" s="1609"/>
      <c r="CP19" s="1609"/>
      <c r="CQ19" s="1525" t="str">
        <f>$BM$61</f>
        <v>3-Fin</v>
      </c>
      <c r="CR19" s="1538"/>
      <c r="CS19" s="1538"/>
      <c r="CT19" s="1610">
        <f t="shared" si="21"/>
        <v>49</v>
      </c>
      <c r="CU19" s="1611">
        <f t="shared" si="22"/>
        <v>3</v>
      </c>
      <c r="CV19" s="1612">
        <f t="shared" si="23"/>
        <v>86</v>
      </c>
      <c r="CW19" s="19">
        <f t="shared" si="24"/>
        <v>1619</v>
      </c>
      <c r="CX19" s="1100">
        <f t="shared" si="25"/>
        <v>493.47120000000001</v>
      </c>
      <c r="CY19" s="1584"/>
      <c r="CZ19" s="1601">
        <f>'WNTR-Calcs'!H24</f>
        <v>28.288690348952059</v>
      </c>
      <c r="DA19" s="1602">
        <f>'WNTR-Calcs'!K24</f>
        <v>22.822765469824294</v>
      </c>
      <c r="DB19" s="1602">
        <f>'WNTR-Calcs'!L24</f>
        <v>-23.983640000000001</v>
      </c>
      <c r="DC19" s="1603">
        <f>'WNTR-Calcs'!M24</f>
        <v>-22.618459999999999</v>
      </c>
      <c r="DD19" s="1604">
        <f>'WNTR-Calcs'!S24</f>
        <v>-5.1056925601522005</v>
      </c>
      <c r="DE19" s="1605">
        <f>'WNTR-Calcs'!R24</f>
        <v>8.5986984384833792E-2</v>
      </c>
      <c r="DF19" s="1606">
        <f>'WNTR-Calcs'!AS24</f>
        <v>-3348.6489767299149</v>
      </c>
      <c r="DG19" s="1607">
        <f>'WNTR-Calcs'!AT24</f>
        <v>-0.70409042296736157</v>
      </c>
      <c r="DH19" s="1608">
        <f>'WNTR-Calcs'!AV24</f>
        <v>-10849.622684604927</v>
      </c>
      <c r="DI19" s="1584"/>
      <c r="DJ19" s="1525" t="str">
        <f>$BM$61</f>
        <v>3-Fin</v>
      </c>
      <c r="DK19" s="1609"/>
      <c r="DL19" s="1609"/>
      <c r="DM19" s="1609"/>
      <c r="DN19" s="1609"/>
      <c r="DO19" s="1609"/>
      <c r="DP19" s="1609"/>
      <c r="DQ19" s="1609"/>
      <c r="DR19" s="1525" t="str">
        <f>$BM$61</f>
        <v>3-Fin</v>
      </c>
      <c r="DS19" s="1521"/>
    </row>
    <row r="20" spans="2:123" ht="18" customHeight="1" thickBot="1">
      <c r="B20" s="809"/>
      <c r="C20" s="817"/>
      <c r="D20" s="866"/>
      <c r="E20" s="945"/>
      <c r="F20" s="817"/>
      <c r="G20" s="817"/>
      <c r="H20" s="817"/>
      <c r="I20" s="817"/>
      <c r="J20" s="817"/>
      <c r="K20" s="866"/>
      <c r="L20" s="962"/>
      <c r="M20" s="963"/>
      <c r="N20" s="870"/>
      <c r="O20" s="946"/>
      <c r="P20" s="937"/>
      <c r="Q20" s="817"/>
      <c r="R20" s="817"/>
      <c r="S20" s="952" t="s">
        <v>833</v>
      </c>
      <c r="U20" s="755"/>
      <c r="V20" s="826"/>
      <c r="W20" s="951" t="s">
        <v>834</v>
      </c>
      <c r="Y20" s="755"/>
      <c r="Z20" s="759"/>
      <c r="AA20" s="760"/>
      <c r="AB20" s="790"/>
      <c r="AC20" s="975"/>
      <c r="AD20" s="969"/>
      <c r="AE20" s="970"/>
      <c r="AF20" s="982"/>
      <c r="AG20" s="1257" t="s">
        <v>835</v>
      </c>
      <c r="AH20" s="760"/>
      <c r="AI20" s="755"/>
      <c r="AJ20" s="755"/>
      <c r="AK20" s="755"/>
      <c r="AL20" s="755"/>
      <c r="AM20" s="755"/>
      <c r="AN20" s="755"/>
      <c r="AO20" s="790"/>
      <c r="AR20" s="843"/>
      <c r="AS20" s="844"/>
      <c r="AT20" s="844"/>
      <c r="AU20" s="844"/>
      <c r="AV20" s="845"/>
      <c r="AY20" s="1389"/>
      <c r="AZ20" s="1374"/>
      <c r="BA20" s="1304" t="s">
        <v>1</v>
      </c>
      <c r="BB20" s="1390">
        <v>20</v>
      </c>
      <c r="BC20" s="1391">
        <v>18</v>
      </c>
      <c r="BD20" s="1391">
        <v>15</v>
      </c>
      <c r="BE20" s="1391">
        <v>13.5</v>
      </c>
      <c r="BF20" s="1391">
        <v>15</v>
      </c>
      <c r="BG20" s="1391">
        <v>10</v>
      </c>
      <c r="BH20" s="1391">
        <v>10</v>
      </c>
      <c r="BI20" s="1392">
        <v>15</v>
      </c>
      <c r="BK20" s="1617">
        <f>BK21+1</f>
        <v>48</v>
      </c>
      <c r="BL20" s="1618">
        <v>2</v>
      </c>
      <c r="BM20" s="1619">
        <f t="shared" si="12"/>
        <v>85</v>
      </c>
      <c r="BN20" s="1620">
        <f t="shared" si="13"/>
        <v>1609</v>
      </c>
      <c r="BO20" s="1621">
        <f t="shared" si="27"/>
        <v>490.42320000000001</v>
      </c>
      <c r="BP20" s="1146">
        <f t="shared" si="28"/>
        <v>1</v>
      </c>
      <c r="BS20" s="1595">
        <f t="shared" si="16"/>
        <v>48</v>
      </c>
      <c r="BT20" s="1596">
        <f t="shared" si="17"/>
        <v>2</v>
      </c>
      <c r="BU20" s="1597">
        <f t="shared" si="18"/>
        <v>85</v>
      </c>
      <c r="BV20" s="1598">
        <f t="shared" si="19"/>
        <v>1609</v>
      </c>
      <c r="BW20" s="1599">
        <f t="shared" si="20"/>
        <v>490.42320000000001</v>
      </c>
      <c r="BY20" s="1601">
        <f>'SMMR-Calcs'!H25</f>
        <v>28.299028964889466</v>
      </c>
      <c r="BZ20" s="1602">
        <f>'SMMR-Calcs'!K25</f>
        <v>13.472116119174943</v>
      </c>
      <c r="CA20" s="1602">
        <f>'SMMR-Calcs'!L25</f>
        <v>91.051959999999994</v>
      </c>
      <c r="CB20" s="1603">
        <f>'SMMR-Calcs'!M25</f>
        <v>72.404939999999996</v>
      </c>
      <c r="CC20" s="1604">
        <f>'SMMR-Calcs'!S25</f>
        <v>37.122547670137806</v>
      </c>
      <c r="CD20" s="1605">
        <f>'SMMR-Calcs'!R25</f>
        <v>6.6634186448670737E-2</v>
      </c>
      <c r="CE20" s="1606">
        <f>'SMMR-Calcs'!AS25</f>
        <v>788.59362802849785</v>
      </c>
      <c r="CF20" s="1607">
        <f>'SMMR-Calcs'!AT25</f>
        <v>0.16581051790330253</v>
      </c>
      <c r="CG20" s="1608">
        <f>'SMMR-Calcs'!AV25</f>
        <v>2555.0433548123328</v>
      </c>
      <c r="CI20" s="1737">
        <f>$BM$60</f>
        <v>13</v>
      </c>
      <c r="CQ20" s="1737">
        <f>$BM$60</f>
        <v>13</v>
      </c>
      <c r="CT20" s="1610">
        <f t="shared" si="21"/>
        <v>48</v>
      </c>
      <c r="CU20" s="1611">
        <f t="shared" si="22"/>
        <v>2</v>
      </c>
      <c r="CV20" s="1612">
        <f t="shared" si="23"/>
        <v>85</v>
      </c>
      <c r="CW20" s="19">
        <f t="shared" si="24"/>
        <v>1609</v>
      </c>
      <c r="CX20" s="1100">
        <f t="shared" si="25"/>
        <v>490.42320000000001</v>
      </c>
      <c r="CY20" s="1648"/>
      <c r="CZ20" s="1601">
        <f>'WNTR-Calcs'!H25</f>
        <v>28.299028964889466</v>
      </c>
      <c r="DA20" s="1602">
        <f>'WNTR-Calcs'!K25</f>
        <v>22.708174178762413</v>
      </c>
      <c r="DB20" s="1602">
        <f>'WNTR-Calcs'!L25</f>
        <v>-23.948039999999999</v>
      </c>
      <c r="DC20" s="1603">
        <f>'WNTR-Calcs'!M25</f>
        <v>-22.59506</v>
      </c>
      <c r="DD20" s="1604">
        <f>'WNTR-Calcs'!S25</f>
        <v>-5.0996292105012051</v>
      </c>
      <c r="DE20" s="1605">
        <f>'WNTR-Calcs'!R25</f>
        <v>8.6011709932195465E-2</v>
      </c>
      <c r="DF20" s="1606">
        <f>'WNTR-Calcs'!AS25</f>
        <v>-3314.5562784723388</v>
      </c>
      <c r="DG20" s="1607">
        <f>'WNTR-Calcs'!AT25</f>
        <v>-0.6969220567088843</v>
      </c>
      <c r="DH20" s="1608">
        <f>'WNTR-Calcs'!AV25</f>
        <v>-10739.162342250378</v>
      </c>
      <c r="DI20" s="1647"/>
      <c r="DJ20" s="1737">
        <f>$BM$60</f>
        <v>13</v>
      </c>
      <c r="DK20" s="737"/>
      <c r="DL20" s="737"/>
      <c r="DR20" s="1737">
        <f>$BM$60</f>
        <v>13</v>
      </c>
      <c r="DS20" s="1520"/>
    </row>
    <row r="21" spans="2:123" ht="18" customHeight="1" thickBot="1">
      <c r="B21" s="793"/>
      <c r="C21" s="817"/>
      <c r="D21" s="866"/>
      <c r="E21" s="939"/>
      <c r="F21" s="817"/>
      <c r="G21" s="817"/>
      <c r="H21" s="817"/>
      <c r="I21" s="817"/>
      <c r="J21" s="817"/>
      <c r="K21" s="866"/>
      <c r="L21" s="964"/>
      <c r="M21" s="965"/>
      <c r="N21" s="870"/>
      <c r="O21" s="946"/>
      <c r="P21" s="934"/>
      <c r="Q21" s="817"/>
      <c r="R21" s="817"/>
      <c r="S21" s="841"/>
      <c r="T21" s="755"/>
      <c r="U21" s="731"/>
      <c r="V21" s="731"/>
      <c r="W21" s="731"/>
      <c r="X21" s="755"/>
      <c r="Y21" s="755"/>
      <c r="Z21" s="759"/>
      <c r="AA21" s="760"/>
      <c r="AB21" s="790"/>
      <c r="AC21" s="977"/>
      <c r="AD21" s="761"/>
      <c r="AE21" s="761"/>
      <c r="AF21" s="976"/>
      <c r="AI21" s="1220"/>
      <c r="AJ21" s="1220"/>
      <c r="AK21" s="1220"/>
      <c r="AL21" s="1220"/>
      <c r="AM21" s="852"/>
      <c r="AN21" s="1922" t="s">
        <v>967</v>
      </c>
      <c r="AO21" s="1248"/>
      <c r="AP21" s="846"/>
      <c r="AQ21" s="740" t="s">
        <v>725</v>
      </c>
      <c r="AR21" s="847"/>
      <c r="AS21" s="847"/>
      <c r="AT21" s="847"/>
      <c r="AU21" s="847"/>
      <c r="AV21" s="848"/>
      <c r="AW21" s="849"/>
      <c r="AY21" s="1367"/>
      <c r="AZ21" s="1368"/>
      <c r="BA21" s="1393" t="s">
        <v>701</v>
      </c>
      <c r="BB21" s="1394">
        <v>15</v>
      </c>
      <c r="BC21" s="1395">
        <v>14</v>
      </c>
      <c r="BD21" s="1395">
        <v>13</v>
      </c>
      <c r="BE21" s="1395">
        <v>10</v>
      </c>
      <c r="BF21" s="1395">
        <v>11</v>
      </c>
      <c r="BG21" s="1395">
        <v>9.5</v>
      </c>
      <c r="BH21" s="1395">
        <v>9.5</v>
      </c>
      <c r="BI21" s="1396">
        <v>11</v>
      </c>
      <c r="BK21" s="1617">
        <f>BK23+1</f>
        <v>47</v>
      </c>
      <c r="BL21" s="1618">
        <v>1</v>
      </c>
      <c r="BM21" s="1619">
        <f t="shared" si="12"/>
        <v>84</v>
      </c>
      <c r="BN21" s="1620">
        <f t="shared" si="13"/>
        <v>1599</v>
      </c>
      <c r="BO21" s="1621">
        <f t="shared" si="27"/>
        <v>487.37520000000001</v>
      </c>
      <c r="BP21" s="1146">
        <f t="shared" si="28"/>
        <v>1</v>
      </c>
      <c r="BS21" s="1595">
        <f t="shared" si="16"/>
        <v>47</v>
      </c>
      <c r="BT21" s="1596">
        <f t="shared" si="17"/>
        <v>1</v>
      </c>
      <c r="BU21" s="1597">
        <f t="shared" si="18"/>
        <v>84</v>
      </c>
      <c r="BV21" s="1598">
        <f t="shared" si="19"/>
        <v>1599</v>
      </c>
      <c r="BW21" s="1599">
        <f t="shared" si="20"/>
        <v>487.37520000000001</v>
      </c>
      <c r="BY21" s="1623">
        <f>'SMMR-Calcs'!H26</f>
        <v>28.309370640100454</v>
      </c>
      <c r="BZ21" s="1624">
        <f>'SMMR-Calcs'!K26</f>
        <v>13.395721925133691</v>
      </c>
      <c r="CA21" s="1624">
        <f>'SMMR-Calcs'!L26</f>
        <v>91.087559999999996</v>
      </c>
      <c r="CB21" s="1625">
        <f>'SMMR-Calcs'!M26</f>
        <v>72.428340000000006</v>
      </c>
      <c r="CC21" s="1626">
        <f>'SMMR-Calcs'!S26</f>
        <v>37.136843162697886</v>
      </c>
      <c r="CD21" s="1627">
        <f>'SMMR-Calcs'!R26</f>
        <v>6.6653702435278295E-2</v>
      </c>
      <c r="CE21" s="1606">
        <f>'SMMR-Calcs'!AS26</f>
        <v>768.56094416149028</v>
      </c>
      <c r="CF21" s="1607">
        <f>'SMMR-Calcs'!AT26</f>
        <v>0.16159842492039853</v>
      </c>
      <c r="CG21" s="1649">
        <f>'SMMR-Calcs'!AV26</f>
        <v>2490.1374590832288</v>
      </c>
      <c r="CI21" s="1737">
        <f>$BM$59</f>
        <v>15</v>
      </c>
      <c r="CQ21" s="1737">
        <f>$BM$59</f>
        <v>15</v>
      </c>
      <c r="CT21" s="1610">
        <f t="shared" si="21"/>
        <v>47</v>
      </c>
      <c r="CU21" s="1611">
        <f t="shared" si="22"/>
        <v>1</v>
      </c>
      <c r="CV21" s="1612">
        <f t="shared" si="23"/>
        <v>84</v>
      </c>
      <c r="CW21" s="19">
        <f t="shared" si="24"/>
        <v>1599</v>
      </c>
      <c r="CX21" s="1100">
        <f t="shared" si="25"/>
        <v>487.37520000000001</v>
      </c>
      <c r="CY21" s="1648"/>
      <c r="CZ21" s="1623">
        <f>'WNTR-Calcs'!H26</f>
        <v>28.309370640100454</v>
      </c>
      <c r="DA21" s="1624">
        <f>'WNTR-Calcs'!K26</f>
        <v>22.593582887700535</v>
      </c>
      <c r="DB21" s="1624">
        <f>'WNTR-Calcs'!L26</f>
        <v>-23.91244</v>
      </c>
      <c r="DC21" s="1625">
        <f>'WNTR-Calcs'!M26</f>
        <v>-22.571660000000001</v>
      </c>
      <c r="DD21" s="1626">
        <f>'WNTR-Calcs'!S26</f>
        <v>-5.0935657651747706</v>
      </c>
      <c r="DE21" s="1631">
        <f>'WNTR-Calcs'!R26</f>
        <v>8.603644095679798E-2</v>
      </c>
      <c r="DF21" s="1628">
        <f>'WNTR-Calcs'!AS26</f>
        <v>-3280.1351882748618</v>
      </c>
      <c r="DG21" s="1629">
        <f>'WNTR-Calcs'!AT26</f>
        <v>-0.68968464241895588</v>
      </c>
      <c r="DH21" s="1630">
        <f>'WNTR-Calcs'!AV26</f>
        <v>-10627.638010010553</v>
      </c>
      <c r="DI21" s="1647"/>
      <c r="DJ21" s="1737">
        <f>$BM$59</f>
        <v>15</v>
      </c>
      <c r="DK21" s="737"/>
      <c r="DL21" s="737"/>
      <c r="DR21" s="1737">
        <f>$BM$59</f>
        <v>15</v>
      </c>
      <c r="DS21" s="1520"/>
    </row>
    <row r="22" spans="2:123" ht="18" customHeight="1" thickBot="1">
      <c r="B22" s="809"/>
      <c r="C22" s="817"/>
      <c r="D22" s="866"/>
      <c r="E22" s="945"/>
      <c r="F22" s="817"/>
      <c r="G22" s="817"/>
      <c r="H22" s="817"/>
      <c r="I22" s="817"/>
      <c r="J22" s="817"/>
      <c r="K22" s="817"/>
      <c r="L22" s="851"/>
      <c r="M22" s="851"/>
      <c r="N22" s="817"/>
      <c r="O22" s="946"/>
      <c r="P22" s="937"/>
      <c r="Q22" s="817"/>
      <c r="R22" s="817"/>
      <c r="S22" s="817"/>
      <c r="T22" s="755"/>
      <c r="U22" s="731"/>
      <c r="V22" s="755"/>
      <c r="W22" s="755"/>
      <c r="X22" s="731"/>
      <c r="Y22" s="826"/>
      <c r="Z22" s="759"/>
      <c r="AA22" s="760"/>
      <c r="AB22" s="980"/>
      <c r="AC22" s="978"/>
      <c r="AD22" s="979"/>
      <c r="AE22" s="979"/>
      <c r="AF22" s="983"/>
      <c r="AG22" s="981"/>
      <c r="AH22" s="1210"/>
      <c r="AI22" s="755"/>
      <c r="AJ22" s="755"/>
      <c r="AK22" s="755"/>
      <c r="AL22" s="755"/>
      <c r="AM22" s="734"/>
      <c r="AN22" s="734"/>
      <c r="AO22" s="881"/>
      <c r="AP22" s="901"/>
      <c r="AQ22" s="902"/>
      <c r="AR22" s="902"/>
      <c r="AS22" s="902"/>
      <c r="AT22" s="902"/>
      <c r="AU22" s="902"/>
      <c r="AV22" s="903"/>
      <c r="AW22" s="733"/>
      <c r="AY22" s="1397"/>
      <c r="AZ22" s="1398"/>
      <c r="BA22" s="1295" t="s">
        <v>748</v>
      </c>
      <c r="BB22" s="1399">
        <v>2</v>
      </c>
      <c r="BC22" s="1400">
        <v>3</v>
      </c>
      <c r="BD22" s="1400">
        <v>6</v>
      </c>
      <c r="BE22" s="1400">
        <v>40</v>
      </c>
      <c r="BF22" s="1400">
        <v>5</v>
      </c>
      <c r="BG22" s="1400">
        <v>25</v>
      </c>
      <c r="BH22" s="1400">
        <v>15</v>
      </c>
      <c r="BI22" s="1401">
        <v>2</v>
      </c>
      <c r="BK22" s="1632" t="s">
        <v>127</v>
      </c>
      <c r="BL22" s="1633"/>
      <c r="BM22" s="1634" t="str">
        <f>BG14</f>
        <v>6-Htl</v>
      </c>
      <c r="BN22" s="1635" t="s">
        <v>128</v>
      </c>
      <c r="BO22" s="1636">
        <f>BG42</f>
        <v>25</v>
      </c>
      <c r="BP22" s="1574">
        <f>SUM(BP23:BP35)</f>
        <v>13</v>
      </c>
      <c r="BS22" s="1632" t="str">
        <f>BK22</f>
        <v>Section &gt;&gt;</v>
      </c>
      <c r="BT22" s="1633"/>
      <c r="BU22" s="1634" t="str">
        <f>BM22</f>
        <v>6-Htl</v>
      </c>
      <c r="BV22" s="1635" t="str">
        <f>BN22</f>
        <v># flrs &gt;&gt;</v>
      </c>
      <c r="BW22" s="1636">
        <f>BO22</f>
        <v>25</v>
      </c>
      <c r="BX22" s="1575"/>
      <c r="BY22" s="1576" t="s">
        <v>14</v>
      </c>
      <c r="BZ22" s="1577" t="s">
        <v>116</v>
      </c>
      <c r="CA22" s="1577" t="s">
        <v>36</v>
      </c>
      <c r="CB22" s="1578" t="s">
        <v>37</v>
      </c>
      <c r="CC22" s="1579" t="s">
        <v>915</v>
      </c>
      <c r="CD22" s="1580" t="s">
        <v>914</v>
      </c>
      <c r="CE22" s="1581" t="s">
        <v>115</v>
      </c>
      <c r="CF22" s="1582" t="s">
        <v>931</v>
      </c>
      <c r="CG22" s="1583" t="s">
        <v>151</v>
      </c>
      <c r="CH22" s="1584"/>
      <c r="CI22" s="1737">
        <f>$BM$58</f>
        <v>17</v>
      </c>
      <c r="CJ22" s="1609"/>
      <c r="CK22" s="1609"/>
      <c r="CL22" s="1609"/>
      <c r="CM22" s="1609"/>
      <c r="CN22" s="1609"/>
      <c r="CO22" s="1609"/>
      <c r="CP22" s="1609"/>
      <c r="CQ22" s="1737">
        <f>$BM$58</f>
        <v>17</v>
      </c>
      <c r="CR22" s="1538"/>
      <c r="CS22" s="1538"/>
      <c r="CT22" s="1637" t="str">
        <f>BK22</f>
        <v>Section &gt;&gt;</v>
      </c>
      <c r="CU22" s="1638"/>
      <c r="CV22" s="1634" t="str">
        <f>BM22</f>
        <v>6-Htl</v>
      </c>
      <c r="CW22" s="1639" t="str">
        <f>BN22</f>
        <v># flrs &gt;&gt;</v>
      </c>
      <c r="CX22" s="1640">
        <f>BO22</f>
        <v>25</v>
      </c>
      <c r="CY22" s="1575"/>
      <c r="CZ22" s="1576" t="s">
        <v>14</v>
      </c>
      <c r="DA22" s="1577" t="s">
        <v>116</v>
      </c>
      <c r="DB22" s="1577" t="s">
        <v>36</v>
      </c>
      <c r="DC22" s="1578" t="s">
        <v>37</v>
      </c>
      <c r="DD22" s="1579" t="s">
        <v>915</v>
      </c>
      <c r="DE22" s="1580" t="s">
        <v>914</v>
      </c>
      <c r="DF22" s="1641" t="s">
        <v>115</v>
      </c>
      <c r="DG22" s="1642" t="s">
        <v>931</v>
      </c>
      <c r="DH22" s="1643" t="s">
        <v>151</v>
      </c>
      <c r="DI22" s="1584"/>
      <c r="DJ22" s="1737">
        <f>$BM$58</f>
        <v>17</v>
      </c>
      <c r="DK22" s="1609"/>
      <c r="DL22" s="1609"/>
      <c r="DM22" s="1609"/>
      <c r="DN22" s="1609"/>
      <c r="DO22" s="1609"/>
      <c r="DP22" s="1609"/>
      <c r="DQ22" s="1609"/>
      <c r="DR22" s="1737">
        <f>$BM$58</f>
        <v>17</v>
      </c>
      <c r="DS22" s="1520"/>
    </row>
    <row r="23" spans="2:123" ht="18" customHeight="1" thickBot="1">
      <c r="B23" s="809"/>
      <c r="C23" s="817"/>
      <c r="D23" s="866"/>
      <c r="E23" s="945"/>
      <c r="F23" s="948" t="s">
        <v>830</v>
      </c>
      <c r="G23" s="817"/>
      <c r="H23" s="817"/>
      <c r="I23" s="817"/>
      <c r="J23" s="751"/>
      <c r="K23" s="817"/>
      <c r="L23" s="817"/>
      <c r="M23" s="817"/>
      <c r="N23" s="817"/>
      <c r="O23" s="946"/>
      <c r="P23" s="937"/>
      <c r="Q23" s="924" t="s">
        <v>720</v>
      </c>
      <c r="S23" s="817"/>
      <c r="T23" s="817"/>
      <c r="U23" s="817"/>
      <c r="V23" s="755"/>
      <c r="W23" s="755"/>
      <c r="X23" s="755"/>
      <c r="Y23" s="755"/>
      <c r="Z23" s="759"/>
      <c r="AA23" s="885"/>
      <c r="AC23" s="922"/>
      <c r="AD23" s="922"/>
      <c r="AE23" s="922"/>
      <c r="AF23" s="922"/>
      <c r="AG23" s="754"/>
      <c r="AH23" s="754"/>
      <c r="AI23" s="754"/>
      <c r="AJ23" s="754"/>
      <c r="AK23" s="754"/>
      <c r="AL23" s="754"/>
      <c r="AM23" s="817"/>
      <c r="AN23" s="817"/>
      <c r="AO23" s="790"/>
      <c r="AP23" s="904"/>
      <c r="AQ23" s="905"/>
      <c r="AR23" s="905"/>
      <c r="AS23" s="905"/>
      <c r="AT23" s="905"/>
      <c r="AU23" s="905"/>
      <c r="AV23" s="906"/>
      <c r="AW23" s="870"/>
      <c r="AY23" s="1367"/>
      <c r="AZ23" s="1368"/>
      <c r="BA23" s="1393" t="s">
        <v>916</v>
      </c>
      <c r="BB23" s="1402" t="s">
        <v>80</v>
      </c>
      <c r="BC23" s="1403" t="s">
        <v>81</v>
      </c>
      <c r="BD23" s="1403" t="s">
        <v>80</v>
      </c>
      <c r="BE23" s="1403" t="s">
        <v>81</v>
      </c>
      <c r="BF23" s="1403" t="s">
        <v>80</v>
      </c>
      <c r="BG23" s="1403" t="s">
        <v>80</v>
      </c>
      <c r="BH23" s="1403" t="s">
        <v>81</v>
      </c>
      <c r="BI23" s="1404" t="s">
        <v>81</v>
      </c>
      <c r="BK23" s="1591">
        <f>BK25+1</f>
        <v>46</v>
      </c>
      <c r="BL23" s="1592">
        <v>25</v>
      </c>
      <c r="BM23" s="1593">
        <f t="shared" ref="BM23:BM35" si="34" xml:space="preserve"> IF(BL23&lt;=0, "XX", BB$42 + BC$42 + BD$42 + BE$42 + BF$42 +BL23)</f>
        <v>83</v>
      </c>
      <c r="BN23" s="1620">
        <f t="shared" ref="BN23:BN35" si="35">IF(BM23="XX", "XX", $BB$9 + BB$44 + BC$44 + BD$44 +BE$44 + BF$44 + BL23*BG$20)</f>
        <v>1589</v>
      </c>
      <c r="BO23" s="1594">
        <f t="shared" ref="BO23:BO24" si="36">IF(BM23="XX", "XX", BN23*0.3048)</f>
        <v>484.3272</v>
      </c>
      <c r="BP23" s="1146">
        <f t="shared" ref="BP23" si="37">IF( (BL23&gt;0),1, 0)</f>
        <v>1</v>
      </c>
      <c r="BQ23" s="1533"/>
      <c r="BR23" s="1533"/>
      <c r="BS23" s="1595">
        <f t="shared" ref="BS23:BS35" si="38">BK23</f>
        <v>46</v>
      </c>
      <c r="BT23" s="1596">
        <f t="shared" ref="BT23:BT35" si="39">BL23</f>
        <v>25</v>
      </c>
      <c r="BU23" s="1597">
        <f t="shared" ref="BU23:BU35" si="40">BM23</f>
        <v>83</v>
      </c>
      <c r="BV23" s="1598">
        <f t="shared" ref="BV23:BV35" si="41">BN23</f>
        <v>1589</v>
      </c>
      <c r="BW23" s="1599">
        <f t="shared" ref="BW23:BW35" si="42">IF(BU23="XX", "XX", BV23*0.3048)</f>
        <v>484.3272</v>
      </c>
      <c r="BX23" s="1584"/>
      <c r="BY23" s="1601">
        <f>'SMMR-Calcs'!H28</f>
        <v>28.319715375277518</v>
      </c>
      <c r="BZ23" s="1602">
        <f>'SMMR-Calcs'!K28</f>
        <v>13.319327731092438</v>
      </c>
      <c r="CA23" s="1602">
        <f>'SMMR-Calcs'!L28</f>
        <v>91.123159999999999</v>
      </c>
      <c r="CB23" s="1603">
        <f>'SMMR-Calcs'!M28</f>
        <v>72.451740000000001</v>
      </c>
      <c r="CC23" s="1604">
        <f>'SMMR-Calcs'!S28</f>
        <v>37.15114149990724</v>
      </c>
      <c r="CD23" s="1605">
        <f>'SMMR-Calcs'!R28</f>
        <v>6.6673222471273871E-2</v>
      </c>
      <c r="CE23" s="1606">
        <f>'SMMR-Calcs'!AS28</f>
        <v>669.15780168473498</v>
      </c>
      <c r="CF23" s="1607">
        <f>'SMMR-Calcs'!AT28</f>
        <v>0.14069781661027031</v>
      </c>
      <c r="CG23" s="1608">
        <f>'SMMR-Calcs'!AV28</f>
        <v>2168.0712774585418</v>
      </c>
      <c r="CH23" s="1584"/>
      <c r="CI23" s="1737">
        <f>$BM$57</f>
        <v>19</v>
      </c>
      <c r="CJ23" s="1609"/>
      <c r="CK23" s="1609"/>
      <c r="CL23" s="1609"/>
      <c r="CM23" s="1609"/>
      <c r="CN23" s="1609"/>
      <c r="CO23" s="1609"/>
      <c r="CP23" s="1609"/>
      <c r="CQ23" s="1737">
        <f>$BM$57</f>
        <v>19</v>
      </c>
      <c r="CR23" s="1538"/>
      <c r="CS23" s="1538"/>
      <c r="CT23" s="1610">
        <f t="shared" ref="CT23:CT35" si="43">BK23</f>
        <v>46</v>
      </c>
      <c r="CU23" s="1611">
        <f t="shared" ref="CU23:CU35" si="44">BL23</f>
        <v>25</v>
      </c>
      <c r="CV23" s="1612">
        <f t="shared" ref="CV23:CV35" si="45">BM23</f>
        <v>83</v>
      </c>
      <c r="CW23" s="19">
        <f t="shared" ref="CW23:CW35" si="46">BN23</f>
        <v>1589</v>
      </c>
      <c r="CX23" s="1100">
        <f t="shared" ref="CX23:CX35" si="47">BO23</f>
        <v>484.3272</v>
      </c>
      <c r="CY23" s="1584"/>
      <c r="CZ23" s="1601">
        <f>'WNTR-Calcs'!H28</f>
        <v>28.319715375277518</v>
      </c>
      <c r="DA23" s="1602">
        <f>'WNTR-Calcs'!K28</f>
        <v>22.478991596638657</v>
      </c>
      <c r="DB23" s="1602">
        <f>'WNTR-Calcs'!L28</f>
        <v>-23.876840000000001</v>
      </c>
      <c r="DC23" s="1603">
        <f>'WNTR-Calcs'!M28</f>
        <v>-22.548259999999999</v>
      </c>
      <c r="DD23" s="1604">
        <f>'WNTR-Calcs'!S28</f>
        <v>-5.0875022240494356</v>
      </c>
      <c r="DE23" s="1605">
        <f>'WNTR-Calcs'!R28</f>
        <v>8.6061177459472227E-2</v>
      </c>
      <c r="DF23" s="1606">
        <f>'WNTR-Calcs'!AS28</f>
        <v>-2903.7568090562372</v>
      </c>
      <c r="DG23" s="1607">
        <f>'WNTR-Calcs'!AT28</f>
        <v>-0.61054693223752066</v>
      </c>
      <c r="DH23" s="1608">
        <f>'WNTR-Calcs'!AV28</f>
        <v>-9408.1720613422094</v>
      </c>
      <c r="DI23" s="1584"/>
      <c r="DJ23" s="1737">
        <f>$BM$57</f>
        <v>19</v>
      </c>
      <c r="DK23" s="1609"/>
      <c r="DL23" s="1609"/>
      <c r="DM23" s="1609"/>
      <c r="DN23" s="1609"/>
      <c r="DO23" s="1609"/>
      <c r="DP23" s="1609"/>
      <c r="DQ23" s="1609"/>
      <c r="DR23" s="1737">
        <f>$BM$57</f>
        <v>19</v>
      </c>
      <c r="DS23" s="1520"/>
    </row>
    <row r="24" spans="2:123" ht="18" customHeight="1">
      <c r="B24" s="1251"/>
      <c r="C24" s="1252"/>
      <c r="D24" s="1253"/>
      <c r="E24" s="1254"/>
      <c r="F24" s="754"/>
      <c r="G24" s="754"/>
      <c r="H24" s="754"/>
      <c r="I24" s="754"/>
      <c r="J24" s="754"/>
      <c r="K24" s="754"/>
      <c r="L24" s="754"/>
      <c r="M24" s="754"/>
      <c r="N24" s="754"/>
      <c r="O24" s="1255"/>
      <c r="P24" s="1256"/>
      <c r="Q24" s="1252"/>
      <c r="R24" s="1252"/>
      <c r="S24" s="754"/>
      <c r="T24" s="754"/>
      <c r="U24" s="754"/>
      <c r="V24" s="754"/>
      <c r="W24" s="1252"/>
      <c r="X24" s="1252"/>
      <c r="Y24" s="1252"/>
      <c r="Z24" s="854"/>
      <c r="AA24" s="1973" t="s">
        <v>973</v>
      </c>
      <c r="AB24" s="1974"/>
      <c r="AC24" s="1974"/>
      <c r="AD24" s="1974"/>
      <c r="AE24" s="1974"/>
      <c r="AF24" s="1974"/>
      <c r="AG24" s="1974"/>
      <c r="AH24" s="1974"/>
      <c r="AI24" s="1974"/>
      <c r="AJ24" s="1974"/>
      <c r="AK24" s="1974"/>
      <c r="AL24" s="1975"/>
      <c r="AM24" s="870"/>
      <c r="AN24" s="817"/>
      <c r="AO24" s="790"/>
      <c r="AP24" s="907"/>
      <c r="AQ24" s="908"/>
      <c r="AR24" s="908"/>
      <c r="AS24" s="908"/>
      <c r="AT24" s="908"/>
      <c r="AU24" s="908"/>
      <c r="AV24" s="909"/>
      <c r="AW24" s="870"/>
      <c r="AY24" s="1373"/>
      <c r="AZ24" s="1374"/>
      <c r="BA24" s="1304" t="s">
        <v>718</v>
      </c>
      <c r="BB24" s="1405">
        <v>5</v>
      </c>
      <c r="BC24" s="1406">
        <v>6</v>
      </c>
      <c r="BD24" s="1406">
        <v>7</v>
      </c>
      <c r="BE24" s="1406">
        <v>7</v>
      </c>
      <c r="BF24" s="1406">
        <v>3</v>
      </c>
      <c r="BG24" s="1406">
        <v>6</v>
      </c>
      <c r="BH24" s="1406">
        <v>6</v>
      </c>
      <c r="BI24" s="1407">
        <v>5</v>
      </c>
      <c r="BK24" s="1613">
        <f t="shared" ref="BK24:BK25" si="48">BK25+1</f>
        <v>46</v>
      </c>
      <c r="BL24" s="1614">
        <v>24</v>
      </c>
      <c r="BM24" s="1615">
        <f t="shared" si="34"/>
        <v>82</v>
      </c>
      <c r="BN24" s="1620">
        <f t="shared" si="35"/>
        <v>1579</v>
      </c>
      <c r="BO24" s="1616">
        <f t="shared" si="36"/>
        <v>481.2792</v>
      </c>
      <c r="BP24" s="1146">
        <f t="shared" ref="BP24:BP35" si="49">IF( (BL24&gt;0),1, 0)</f>
        <v>1</v>
      </c>
      <c r="BQ24" s="1533"/>
      <c r="BR24" s="1533"/>
      <c r="BS24" s="1595">
        <f t="shared" si="38"/>
        <v>46</v>
      </c>
      <c r="BT24" s="1596">
        <f t="shared" si="39"/>
        <v>24</v>
      </c>
      <c r="BU24" s="1597">
        <f t="shared" si="40"/>
        <v>82</v>
      </c>
      <c r="BV24" s="1598">
        <f t="shared" si="41"/>
        <v>1579</v>
      </c>
      <c r="BW24" s="1599">
        <f t="shared" si="42"/>
        <v>481.2792</v>
      </c>
      <c r="BX24" s="1584"/>
      <c r="BY24" s="1601">
        <f>'SMMR-Calcs'!H29</f>
        <v>28.33006317111326</v>
      </c>
      <c r="BZ24" s="1602">
        <f>'SMMR-Calcs'!K29</f>
        <v>13.242933537051185</v>
      </c>
      <c r="CA24" s="1602">
        <f>'SMMR-Calcs'!L29</f>
        <v>91.158760000000001</v>
      </c>
      <c r="CB24" s="1603">
        <f>'SMMR-Calcs'!M29</f>
        <v>72.475139999999996</v>
      </c>
      <c r="CC24" s="1604">
        <f>'SMMR-Calcs'!S29</f>
        <v>37.165442682366148</v>
      </c>
      <c r="CD24" s="1605">
        <f>'SMMR-Calcs'!R29</f>
        <v>6.6692746557026769E-2</v>
      </c>
      <c r="CE24" s="1606">
        <f>'SMMR-Calcs'!AS29</f>
        <v>650.02844664429995</v>
      </c>
      <c r="CF24" s="1607">
        <f>'SMMR-Calcs'!AT29</f>
        <v>0.13667565848766366</v>
      </c>
      <c r="CG24" s="1608">
        <f>'SMMR-Calcs'!AV29</f>
        <v>2106.0921671275319</v>
      </c>
      <c r="CH24" s="1584"/>
      <c r="CI24" s="1737">
        <f>$BM$56</f>
        <v>22</v>
      </c>
      <c r="CJ24" s="1609"/>
      <c r="CK24" s="1609"/>
      <c r="CL24" s="1609"/>
      <c r="CM24" s="1609"/>
      <c r="CN24" s="1609"/>
      <c r="CO24" s="1609"/>
      <c r="CP24" s="1609"/>
      <c r="CQ24" s="1737">
        <f>$BM$56</f>
        <v>22</v>
      </c>
      <c r="CR24" s="1538"/>
      <c r="CS24" s="1538"/>
      <c r="CT24" s="1610">
        <f t="shared" si="43"/>
        <v>46</v>
      </c>
      <c r="CU24" s="1611">
        <f t="shared" si="44"/>
        <v>24</v>
      </c>
      <c r="CV24" s="1612">
        <f t="shared" si="45"/>
        <v>82</v>
      </c>
      <c r="CW24" s="19">
        <f t="shared" si="46"/>
        <v>1579</v>
      </c>
      <c r="CX24" s="1100">
        <f t="shared" si="47"/>
        <v>481.2792</v>
      </c>
      <c r="CY24" s="1584"/>
      <c r="CZ24" s="1601">
        <f>'WNTR-Calcs'!H29</f>
        <v>28.33006317111326</v>
      </c>
      <c r="DA24" s="1602">
        <f>'WNTR-Calcs'!K29</f>
        <v>22.364400305576776</v>
      </c>
      <c r="DB24" s="1602">
        <f>'WNTR-Calcs'!L29</f>
        <v>-23.841239999999999</v>
      </c>
      <c r="DC24" s="1603">
        <f>'WNTR-Calcs'!M29</f>
        <v>-22.52486</v>
      </c>
      <c r="DD24" s="1604">
        <f>'WNTR-Calcs'!S29</f>
        <v>-5.081438587001708</v>
      </c>
      <c r="DE24" s="1605">
        <f>'WNTR-Calcs'!R29</f>
        <v>8.6085919441049055E-2</v>
      </c>
      <c r="DF24" s="1606">
        <f>'WNTR-Calcs'!AS29</f>
        <v>-2872.342796603119</v>
      </c>
      <c r="DG24" s="1607">
        <f>'WNTR-Calcs'!AT29</f>
        <v>-0.60394178924734165</v>
      </c>
      <c r="DH24" s="1608">
        <f>'WNTR-Calcs'!AV29</f>
        <v>-9306.3906609941077</v>
      </c>
      <c r="DI24" s="1584"/>
      <c r="DJ24" s="1737">
        <f>$BM$56</f>
        <v>22</v>
      </c>
      <c r="DK24" s="1609"/>
      <c r="DL24" s="1609"/>
      <c r="DM24" s="1609"/>
      <c r="DN24" s="1609"/>
      <c r="DO24" s="1609"/>
      <c r="DP24" s="1609"/>
      <c r="DQ24" s="1609"/>
      <c r="DR24" s="1737">
        <f>$BM$56</f>
        <v>22</v>
      </c>
      <c r="DS24" s="1520"/>
    </row>
    <row r="25" spans="2:123" ht="18" customHeight="1" thickBot="1">
      <c r="B25" s="754"/>
      <c r="C25" s="754"/>
      <c r="D25" s="754"/>
      <c r="E25" s="754"/>
      <c r="F25" s="754"/>
      <c r="G25" s="754"/>
      <c r="H25" s="754"/>
      <c r="I25" s="754"/>
      <c r="J25" s="754"/>
      <c r="K25" s="754"/>
      <c r="L25" s="754"/>
      <c r="M25" s="754"/>
      <c r="N25" s="754"/>
      <c r="O25" s="754"/>
      <c r="P25" s="754"/>
      <c r="Q25" s="754"/>
      <c r="R25" s="754"/>
      <c r="S25" s="754"/>
      <c r="T25" s="754"/>
      <c r="U25" s="754"/>
      <c r="V25" s="754"/>
      <c r="W25" s="754"/>
      <c r="X25" s="754"/>
      <c r="Y25" s="754"/>
      <c r="Z25" s="790"/>
      <c r="AA25" s="1976"/>
      <c r="AB25" s="1977"/>
      <c r="AC25" s="1977"/>
      <c r="AD25" s="1977"/>
      <c r="AE25" s="1977"/>
      <c r="AF25" s="1977"/>
      <c r="AG25" s="1977"/>
      <c r="AH25" s="1977"/>
      <c r="AI25" s="1977"/>
      <c r="AJ25" s="1977"/>
      <c r="AK25" s="1977"/>
      <c r="AL25" s="1978"/>
      <c r="AM25" s="870"/>
      <c r="AN25" s="817"/>
      <c r="AO25" s="790"/>
      <c r="AP25" s="910"/>
      <c r="AQ25" s="911"/>
      <c r="AR25" s="911"/>
      <c r="AS25" s="911"/>
      <c r="AT25" s="911"/>
      <c r="AU25" s="911"/>
      <c r="AV25" s="912"/>
      <c r="AW25" s="870"/>
      <c r="AY25" s="1397"/>
      <c r="AZ25" s="1398"/>
      <c r="BA25" s="1295" t="s">
        <v>827</v>
      </c>
      <c r="BB25" s="1408">
        <v>5.5</v>
      </c>
      <c r="BC25" s="1409">
        <v>4.5</v>
      </c>
      <c r="BD25" s="1409">
        <v>4</v>
      </c>
      <c r="BE25" s="1409">
        <v>4</v>
      </c>
      <c r="BF25" s="1409">
        <v>9</v>
      </c>
      <c r="BG25" s="1409">
        <v>5</v>
      </c>
      <c r="BH25" s="1409">
        <v>5</v>
      </c>
      <c r="BI25" s="1410">
        <v>5.5</v>
      </c>
      <c r="BK25" s="1613">
        <f t="shared" si="48"/>
        <v>45</v>
      </c>
      <c r="BL25" s="1614">
        <v>23</v>
      </c>
      <c r="BM25" s="1615">
        <f t="shared" si="34"/>
        <v>81</v>
      </c>
      <c r="BN25" s="1620">
        <f t="shared" si="35"/>
        <v>1569</v>
      </c>
      <c r="BO25" s="1616">
        <f t="shared" ref="BO25" si="50">IF(BM25="XX", "XX", BN25*0.3048)</f>
        <v>478.2312</v>
      </c>
      <c r="BP25" s="1146">
        <f t="shared" si="49"/>
        <v>1</v>
      </c>
      <c r="BQ25" s="1533"/>
      <c r="BR25" s="1533"/>
      <c r="BS25" s="1595">
        <f t="shared" si="38"/>
        <v>45</v>
      </c>
      <c r="BT25" s="1596">
        <f t="shared" si="39"/>
        <v>23</v>
      </c>
      <c r="BU25" s="1597">
        <f t="shared" si="40"/>
        <v>81</v>
      </c>
      <c r="BV25" s="1598">
        <f t="shared" si="41"/>
        <v>1569</v>
      </c>
      <c r="BW25" s="1599">
        <f t="shared" si="42"/>
        <v>478.2312</v>
      </c>
      <c r="BX25" s="1584"/>
      <c r="BY25" s="1601">
        <f>'SMMR-Calcs'!H30</f>
        <v>28.340414028300387</v>
      </c>
      <c r="BZ25" s="1602">
        <f>'SMMR-Calcs'!K30</f>
        <v>13.166539343009932</v>
      </c>
      <c r="CA25" s="1602">
        <f>'SMMR-Calcs'!L30</f>
        <v>91.194360000000003</v>
      </c>
      <c r="CB25" s="1603">
        <f>'SMMR-Calcs'!M30</f>
        <v>72.498540000000006</v>
      </c>
      <c r="CC25" s="1604">
        <f>'SMMR-Calcs'!S30</f>
        <v>37.179746710674657</v>
      </c>
      <c r="CD25" s="1605">
        <f>'SMMR-Calcs'!R30</f>
        <v>6.6712274692906207E-2</v>
      </c>
      <c r="CE25" s="1606">
        <f>'SMMR-Calcs'!AS30</f>
        <v>630.21460110254907</v>
      </c>
      <c r="CF25" s="1607">
        <f>'SMMR-Calcs'!AT30</f>
        <v>0.13250957867904639</v>
      </c>
      <c r="CG25" s="1608">
        <f>'SMMR-Calcs'!AV30</f>
        <v>2041.8953075722591</v>
      </c>
      <c r="CH25" s="1584"/>
      <c r="CI25" s="1737">
        <f>$BM$55</f>
        <v>25</v>
      </c>
      <c r="CJ25" s="1609"/>
      <c r="CK25" s="1609"/>
      <c r="CL25" s="1609"/>
      <c r="CM25" s="1609"/>
      <c r="CN25" s="1609"/>
      <c r="CO25" s="1609"/>
      <c r="CP25" s="1609"/>
      <c r="CQ25" s="1737">
        <f>$BM$55</f>
        <v>25</v>
      </c>
      <c r="CR25" s="1538"/>
      <c r="CS25" s="1538"/>
      <c r="CT25" s="1610">
        <f t="shared" si="43"/>
        <v>45</v>
      </c>
      <c r="CU25" s="1611">
        <f t="shared" si="44"/>
        <v>23</v>
      </c>
      <c r="CV25" s="1612">
        <f t="shared" si="45"/>
        <v>81</v>
      </c>
      <c r="CW25" s="19">
        <f t="shared" si="46"/>
        <v>1569</v>
      </c>
      <c r="CX25" s="1100">
        <f t="shared" si="47"/>
        <v>478.2312</v>
      </c>
      <c r="CY25" s="1584"/>
      <c r="CZ25" s="1601">
        <f>'WNTR-Calcs'!H30</f>
        <v>28.340414028300387</v>
      </c>
      <c r="DA25" s="1602">
        <f>'WNTR-Calcs'!K30</f>
        <v>22.249809014514895</v>
      </c>
      <c r="DB25" s="1602">
        <f>'WNTR-Calcs'!L30</f>
        <v>-23.80564</v>
      </c>
      <c r="DC25" s="1603">
        <f>'WNTR-Calcs'!M30</f>
        <v>-22.501460000000002</v>
      </c>
      <c r="DD25" s="1604">
        <f>'WNTR-Calcs'!S30</f>
        <v>-5.0753748539080359</v>
      </c>
      <c r="DE25" s="1605">
        <f>'WNTR-Calcs'!R30</f>
        <v>8.6110666902359398E-2</v>
      </c>
      <c r="DF25" s="1606">
        <f>'WNTR-Calcs'!AS30</f>
        <v>-2840.6053776574227</v>
      </c>
      <c r="DG25" s="1607">
        <f>'WNTR-Calcs'!AT30</f>
        <v>-0.59726864647106004</v>
      </c>
      <c r="DH25" s="1608">
        <f>'WNTR-Calcs'!AV30</f>
        <v>-9203.56142361005</v>
      </c>
      <c r="DI25" s="1584"/>
      <c r="DJ25" s="1737">
        <f>$BM$55</f>
        <v>25</v>
      </c>
      <c r="DK25" s="1609"/>
      <c r="DL25" s="1609"/>
      <c r="DM25" s="1609"/>
      <c r="DN25" s="1609"/>
      <c r="DO25" s="1609"/>
      <c r="DP25" s="1609"/>
      <c r="DQ25" s="1609"/>
      <c r="DR25" s="1737">
        <f>$BM$55</f>
        <v>25</v>
      </c>
      <c r="DS25" s="1520"/>
    </row>
    <row r="26" spans="2:123" ht="18" customHeight="1">
      <c r="B26" s="1287" t="s">
        <v>808</v>
      </c>
      <c r="C26" s="899"/>
      <c r="D26" s="900"/>
      <c r="E26" s="900"/>
      <c r="F26" s="900"/>
      <c r="G26" s="900"/>
      <c r="H26" s="900"/>
      <c r="I26" s="900"/>
      <c r="J26" s="900"/>
      <c r="K26" s="900"/>
      <c r="L26" s="900"/>
      <c r="M26" s="900"/>
      <c r="N26" s="900"/>
      <c r="O26" s="900"/>
      <c r="P26" s="900"/>
      <c r="Q26" s="900"/>
      <c r="R26" s="900"/>
      <c r="S26" s="900"/>
      <c r="T26" s="900"/>
      <c r="U26" s="900"/>
      <c r="V26" s="900"/>
      <c r="W26" s="900"/>
      <c r="X26" s="900"/>
      <c r="Y26" s="1288"/>
      <c r="Z26" s="791"/>
      <c r="AA26" s="1972" t="s">
        <v>974</v>
      </c>
      <c r="AB26" s="1972"/>
      <c r="AC26" s="1972"/>
      <c r="AD26" s="1972"/>
      <c r="AE26" s="1972"/>
      <c r="AF26" s="1972"/>
      <c r="AG26" s="1972"/>
      <c r="AH26" s="1972"/>
      <c r="AI26" s="1972"/>
      <c r="AJ26" s="1972"/>
      <c r="AK26" s="1972"/>
      <c r="AL26" s="1972"/>
      <c r="AM26" s="870"/>
      <c r="AN26" s="817"/>
      <c r="AO26" s="790"/>
      <c r="AP26" s="910"/>
      <c r="AQ26" s="911"/>
      <c r="AR26" s="911"/>
      <c r="AS26" s="911"/>
      <c r="AT26" s="911"/>
      <c r="AU26" s="911"/>
      <c r="AV26" s="912"/>
      <c r="AW26" s="870"/>
      <c r="AY26" s="1378"/>
      <c r="AZ26" s="1379"/>
      <c r="BA26" s="1380" t="s">
        <v>828</v>
      </c>
      <c r="BB26" s="1411">
        <v>11</v>
      </c>
      <c r="BC26" s="1412">
        <v>10</v>
      </c>
      <c r="BD26" s="1412">
        <v>8</v>
      </c>
      <c r="BE26" s="1412">
        <v>8</v>
      </c>
      <c r="BF26" s="1412">
        <v>10</v>
      </c>
      <c r="BG26" s="1412">
        <v>7</v>
      </c>
      <c r="BH26" s="1412">
        <v>7</v>
      </c>
      <c r="BI26" s="1413">
        <v>8</v>
      </c>
      <c r="BK26" s="1613">
        <f t="shared" ref="BK26:BK32" si="51">BK27+1</f>
        <v>44</v>
      </c>
      <c r="BL26" s="1614">
        <v>21</v>
      </c>
      <c r="BM26" s="1615">
        <f t="shared" si="34"/>
        <v>79</v>
      </c>
      <c r="BN26" s="1620">
        <f t="shared" si="35"/>
        <v>1549</v>
      </c>
      <c r="BO26" s="1616">
        <f t="shared" ref="BO26:BO32" si="52">IF(BM26="XX", "XX", BN26*0.3048)</f>
        <v>472.1352</v>
      </c>
      <c r="BP26" s="1146">
        <f t="shared" si="49"/>
        <v>1</v>
      </c>
      <c r="BQ26" s="1533"/>
      <c r="BR26" s="1533"/>
      <c r="BS26" s="1595">
        <f t="shared" si="38"/>
        <v>44</v>
      </c>
      <c r="BT26" s="1596">
        <f t="shared" si="39"/>
        <v>21</v>
      </c>
      <c r="BU26" s="1597">
        <f t="shared" si="40"/>
        <v>79</v>
      </c>
      <c r="BV26" s="1598">
        <f t="shared" si="41"/>
        <v>1549</v>
      </c>
      <c r="BW26" s="1599">
        <f t="shared" si="42"/>
        <v>472.1352</v>
      </c>
      <c r="BX26" s="1584"/>
      <c r="BY26" s="1601">
        <f>'SMMR-Calcs'!H31</f>
        <v>28.36112492950015</v>
      </c>
      <c r="BZ26" s="1602">
        <f>'SMMR-Calcs'!K31</f>
        <v>13.013750954927426</v>
      </c>
      <c r="CA26" s="1602">
        <f>'SMMR-Calcs'!L31</f>
        <v>91.265559999999994</v>
      </c>
      <c r="CB26" s="1603">
        <f>'SMMR-Calcs'!M31</f>
        <v>72.545339999999996</v>
      </c>
      <c r="CC26" s="1604">
        <f>'SMMR-Calcs'!S31</f>
        <v>37.208363307240397</v>
      </c>
      <c r="CD26" s="1605">
        <f>'SMMR-Calcs'!R31</f>
        <v>6.6751343116521117E-2</v>
      </c>
      <c r="CE26" s="1606">
        <f>'SMMR-Calcs'!AS31</f>
        <v>588.25445165897997</v>
      </c>
      <c r="CF26" s="1607">
        <f>'SMMR-Calcs'!AT31</f>
        <v>0.12368699393672238</v>
      </c>
      <c r="CG26" s="1608">
        <f>'SMMR-Calcs'!AV31</f>
        <v>1905.9444233750953</v>
      </c>
      <c r="CH26" s="1584"/>
      <c r="CI26" s="1737">
        <f>$BM$54</f>
        <v>28</v>
      </c>
      <c r="CJ26" s="1609"/>
      <c r="CK26" s="1609"/>
      <c r="CL26" s="1609"/>
      <c r="CM26" s="1609"/>
      <c r="CN26" s="1609"/>
      <c r="CO26" s="1609"/>
      <c r="CP26" s="1609"/>
      <c r="CQ26" s="1737">
        <f>$BM$54</f>
        <v>28</v>
      </c>
      <c r="CR26" s="1538"/>
      <c r="CS26" s="1538"/>
      <c r="CT26" s="1610">
        <f t="shared" si="43"/>
        <v>44</v>
      </c>
      <c r="CU26" s="1611">
        <f t="shared" si="44"/>
        <v>21</v>
      </c>
      <c r="CV26" s="1612">
        <f t="shared" si="45"/>
        <v>79</v>
      </c>
      <c r="CW26" s="19">
        <f t="shared" si="46"/>
        <v>1549</v>
      </c>
      <c r="CX26" s="1100">
        <f t="shared" si="47"/>
        <v>472.1352</v>
      </c>
      <c r="CY26" s="1584"/>
      <c r="CZ26" s="1601">
        <f>'WNTR-Calcs'!H31</f>
        <v>28.36112492950015</v>
      </c>
      <c r="DA26" s="1602">
        <f>'WNTR-Calcs'!K31</f>
        <v>22.02062643239114</v>
      </c>
      <c r="DB26" s="1602">
        <f>'WNTR-Calcs'!L31</f>
        <v>-23.734439999999999</v>
      </c>
      <c r="DC26" s="1603">
        <f>'WNTR-Calcs'!M31</f>
        <v>-22.454660000000001</v>
      </c>
      <c r="DD26" s="1604">
        <f>'WNTR-Calcs'!S31</f>
        <v>-5.0632470990884304</v>
      </c>
      <c r="DE26" s="1605">
        <f>'WNTR-Calcs'!R31</f>
        <v>8.616017826750455E-2</v>
      </c>
      <c r="DF26" s="1606">
        <f>'WNTR-Calcs'!AS31</f>
        <v>-2776.1158401980551</v>
      </c>
      <c r="DG26" s="1607">
        <f>'WNTR-Calcs'!AT31</f>
        <v>-0.58370900913006984</v>
      </c>
      <c r="DH26" s="1608">
        <f>'WNTR-Calcs'!AV31</f>
        <v>-8994.6153222416997</v>
      </c>
      <c r="DI26" s="1584"/>
      <c r="DJ26" s="1737">
        <f>$BM$54</f>
        <v>28</v>
      </c>
      <c r="DK26" s="1609"/>
      <c r="DL26" s="1609"/>
      <c r="DM26" s="1609"/>
      <c r="DN26" s="1609"/>
      <c r="DO26" s="1609"/>
      <c r="DP26" s="1609"/>
      <c r="DQ26" s="1609"/>
      <c r="DR26" s="1737">
        <f>$BM$54</f>
        <v>28</v>
      </c>
      <c r="DS26" s="1520"/>
    </row>
    <row r="27" spans="2:123" ht="18" customHeight="1" thickBot="1">
      <c r="B27" s="1931" t="s">
        <v>807</v>
      </c>
      <c r="C27" s="1932"/>
      <c r="D27" s="1933"/>
      <c r="E27" s="1933"/>
      <c r="F27" s="1933"/>
      <c r="G27" s="1933"/>
      <c r="H27" s="1933"/>
      <c r="I27" s="1933"/>
      <c r="J27" s="1933"/>
      <c r="K27" s="1933"/>
      <c r="L27" s="1933"/>
      <c r="M27" s="1933"/>
      <c r="N27" s="1933"/>
      <c r="O27" s="1933"/>
      <c r="P27" s="1933"/>
      <c r="Q27" s="1933"/>
      <c r="R27" s="1933"/>
      <c r="S27" s="1933"/>
      <c r="T27" s="1933"/>
      <c r="U27" s="1933"/>
      <c r="V27" s="1933"/>
      <c r="W27" s="1933"/>
      <c r="X27" s="1933"/>
      <c r="Y27" s="1934"/>
      <c r="Z27" s="1929"/>
      <c r="AA27" s="1972"/>
      <c r="AB27" s="1972"/>
      <c r="AC27" s="1972"/>
      <c r="AD27" s="1972"/>
      <c r="AE27" s="1972"/>
      <c r="AF27" s="1972"/>
      <c r="AG27" s="1972"/>
      <c r="AH27" s="1972"/>
      <c r="AI27" s="1972"/>
      <c r="AJ27" s="1972"/>
      <c r="AK27" s="1972"/>
      <c r="AL27" s="1972"/>
      <c r="AM27" s="870"/>
      <c r="AN27" s="817"/>
      <c r="AO27" s="790"/>
      <c r="AP27" s="910"/>
      <c r="AQ27" s="911"/>
      <c r="AR27" s="911"/>
      <c r="AS27" s="911"/>
      <c r="AT27" s="911"/>
      <c r="AU27" s="911"/>
      <c r="AV27" s="912"/>
      <c r="AW27" s="870"/>
      <c r="AY27" s="1414"/>
      <c r="AZ27" s="1415"/>
      <c r="BA27" s="1416" t="s">
        <v>894</v>
      </c>
      <c r="BB27" s="1417">
        <v>60</v>
      </c>
      <c r="BC27" s="1418">
        <v>50</v>
      </c>
      <c r="BD27" s="1418">
        <v>65</v>
      </c>
      <c r="BE27" s="1418">
        <v>65</v>
      </c>
      <c r="BF27" s="1418">
        <v>60</v>
      </c>
      <c r="BG27" s="1418">
        <v>45</v>
      </c>
      <c r="BH27" s="1418">
        <v>45</v>
      </c>
      <c r="BI27" s="1419">
        <v>60</v>
      </c>
      <c r="BK27" s="1613">
        <f t="shared" si="51"/>
        <v>43</v>
      </c>
      <c r="BL27" s="1614">
        <v>20</v>
      </c>
      <c r="BM27" s="1615">
        <f t="shared" si="34"/>
        <v>78</v>
      </c>
      <c r="BN27" s="1620">
        <f t="shared" si="35"/>
        <v>1539</v>
      </c>
      <c r="BO27" s="1616">
        <f t="shared" si="52"/>
        <v>469.0872</v>
      </c>
      <c r="BP27" s="1146">
        <f t="shared" si="49"/>
        <v>1</v>
      </c>
      <c r="BQ27" s="1533"/>
      <c r="BR27" s="1533"/>
      <c r="BS27" s="1595">
        <f t="shared" si="38"/>
        <v>43</v>
      </c>
      <c r="BT27" s="1596">
        <f t="shared" si="39"/>
        <v>20</v>
      </c>
      <c r="BU27" s="1597">
        <f t="shared" si="40"/>
        <v>78</v>
      </c>
      <c r="BV27" s="1598">
        <f t="shared" si="41"/>
        <v>1539</v>
      </c>
      <c r="BW27" s="1599">
        <f t="shared" si="42"/>
        <v>469.0872</v>
      </c>
      <c r="BX27" s="1584"/>
      <c r="BY27" s="1601">
        <f>'SMMR-Calcs'!H32</f>
        <v>28.371484974898724</v>
      </c>
      <c r="BZ27" s="1602">
        <f>'SMMR-Calcs'!K32</f>
        <v>12.937356760886173</v>
      </c>
      <c r="CA27" s="1602">
        <f>'SMMR-Calcs'!L32</f>
        <v>91.301159999999996</v>
      </c>
      <c r="CB27" s="1603">
        <f>'SMMR-Calcs'!M32</f>
        <v>72.568740000000005</v>
      </c>
      <c r="CC27" s="1604">
        <f>'SMMR-Calcs'!S32</f>
        <v>37.222675876698297</v>
      </c>
      <c r="CD27" s="1605">
        <f>'SMMR-Calcs'!R32</f>
        <v>6.6770883404994472E-2</v>
      </c>
      <c r="CE27" s="1606">
        <f>'SMMR-Calcs'!AS32</f>
        <v>565.93523872255628</v>
      </c>
      <c r="CF27" s="1607">
        <f>'SMMR-Calcs'!AT32</f>
        <v>0.11899413296923715</v>
      </c>
      <c r="CG27" s="1608">
        <f>'SMMR-Calcs'!AV32</f>
        <v>1833.6301734610824</v>
      </c>
      <c r="CH27" s="1584"/>
      <c r="CI27" s="1737">
        <f>$BM$53</f>
        <v>31</v>
      </c>
      <c r="CJ27" s="1609"/>
      <c r="CK27" s="1609"/>
      <c r="CL27" s="1609"/>
      <c r="CM27" s="1609"/>
      <c r="CN27" s="1609"/>
      <c r="CO27" s="1609"/>
      <c r="CP27" s="1609"/>
      <c r="CQ27" s="1737">
        <f>$BM$53</f>
        <v>31</v>
      </c>
      <c r="CR27" s="1538"/>
      <c r="CS27" s="1538"/>
      <c r="CT27" s="1610">
        <f t="shared" si="43"/>
        <v>43</v>
      </c>
      <c r="CU27" s="1611">
        <f t="shared" si="44"/>
        <v>20</v>
      </c>
      <c r="CV27" s="1612">
        <f t="shared" si="45"/>
        <v>78</v>
      </c>
      <c r="CW27" s="19">
        <f t="shared" si="46"/>
        <v>1539</v>
      </c>
      <c r="CX27" s="1100">
        <f t="shared" si="47"/>
        <v>469.0872</v>
      </c>
      <c r="CY27" s="1584"/>
      <c r="CZ27" s="1601">
        <f>'WNTR-Calcs'!H32</f>
        <v>28.371484974898724</v>
      </c>
      <c r="DA27" s="1602">
        <f>'WNTR-Calcs'!K32</f>
        <v>21.906035141329259</v>
      </c>
      <c r="DB27" s="1602">
        <f>'WNTR-Calcs'!L32</f>
        <v>-23.698840000000001</v>
      </c>
      <c r="DC27" s="1603">
        <f>'WNTR-Calcs'!M32</f>
        <v>-22.431260000000002</v>
      </c>
      <c r="DD27" s="1604">
        <f>'WNTR-Calcs'!S32</f>
        <v>-5.0571830771151625</v>
      </c>
      <c r="DE27" s="1605">
        <f>'WNTR-Calcs'!R32</f>
        <v>8.6184942173001405E-2</v>
      </c>
      <c r="DF27" s="1606">
        <f>'WNTR-Calcs'!AS32</f>
        <v>-2743.3398685532038</v>
      </c>
      <c r="DG27" s="1607">
        <f>'WNTR-Calcs'!AT32</f>
        <v>-0.57681749918114555</v>
      </c>
      <c r="DH27" s="1608">
        <f>'WNTR-Calcs'!AV32</f>
        <v>-8888.42117411238</v>
      </c>
      <c r="DI27" s="1584"/>
      <c r="DJ27" s="1737">
        <f>$BM$53</f>
        <v>31</v>
      </c>
      <c r="DK27" s="1609"/>
      <c r="DL27" s="1609"/>
      <c r="DM27" s="1609"/>
      <c r="DN27" s="1609"/>
      <c r="DO27" s="1609"/>
      <c r="DP27" s="1609"/>
      <c r="DQ27" s="1609"/>
      <c r="DR27" s="1737">
        <f>$BM$53</f>
        <v>31</v>
      </c>
      <c r="DS27" s="1520"/>
    </row>
    <row r="28" spans="2:123" ht="18" customHeight="1" thickBot="1">
      <c r="B28" s="2037">
        <v>1.0000000000000002E-4</v>
      </c>
      <c r="C28" s="2038"/>
      <c r="D28" s="2039"/>
      <c r="E28" s="2031">
        <v>3.5000000000000003E-2</v>
      </c>
      <c r="F28" s="2032"/>
      <c r="G28" s="2033"/>
      <c r="H28" s="1935" t="s">
        <v>971</v>
      </c>
      <c r="I28" s="1936"/>
      <c r="J28" s="1936"/>
      <c r="K28" s="1936"/>
      <c r="L28" s="1936"/>
      <c r="M28" s="2031">
        <v>7.4099999999999999E-2</v>
      </c>
      <c r="N28" s="2032"/>
      <c r="O28" s="2033"/>
      <c r="P28" s="1937" t="s">
        <v>972</v>
      </c>
      <c r="Q28" s="1936"/>
      <c r="R28" s="1936"/>
      <c r="S28" s="1936"/>
      <c r="T28" s="1936"/>
      <c r="U28" s="2031">
        <v>0.65</v>
      </c>
      <c r="V28" s="2032"/>
      <c r="W28" s="2033"/>
      <c r="X28" s="1937" t="s">
        <v>970</v>
      </c>
      <c r="Y28" s="1280"/>
      <c r="Z28" s="850"/>
      <c r="AA28" s="761"/>
      <c r="AB28" s="761"/>
      <c r="AC28" s="761"/>
      <c r="AD28" s="761"/>
      <c r="AE28" s="761"/>
      <c r="AF28" s="761"/>
      <c r="AG28" s="761"/>
      <c r="AH28" s="761"/>
      <c r="AI28" s="761"/>
      <c r="AJ28" s="761"/>
      <c r="AK28" s="761"/>
      <c r="AL28" s="761"/>
      <c r="AM28" s="817"/>
      <c r="AN28" s="817"/>
      <c r="AO28" s="790"/>
      <c r="AP28" s="910"/>
      <c r="AQ28" s="911"/>
      <c r="AR28" s="911"/>
      <c r="AS28" s="911"/>
      <c r="AT28" s="911"/>
      <c r="AU28" s="911"/>
      <c r="AV28" s="912"/>
      <c r="AW28" s="870"/>
      <c r="AY28" s="1384"/>
      <c r="AZ28" s="1385"/>
      <c r="BA28" s="1386" t="s">
        <v>966</v>
      </c>
      <c r="BB28" s="1420">
        <v>0.95</v>
      </c>
      <c r="BC28" s="1420">
        <v>0.75</v>
      </c>
      <c r="BD28" s="1420"/>
      <c r="BE28" s="1420"/>
      <c r="BF28" s="1420"/>
      <c r="BG28" s="1420">
        <v>0.85</v>
      </c>
      <c r="BH28" s="1420">
        <v>0.95</v>
      </c>
      <c r="BI28" s="1945">
        <v>0.65</v>
      </c>
      <c r="BK28" s="1613">
        <f t="shared" si="51"/>
        <v>42</v>
      </c>
      <c r="BL28" s="1614">
        <v>18</v>
      </c>
      <c r="BM28" s="1615">
        <f t="shared" si="34"/>
        <v>76</v>
      </c>
      <c r="BN28" s="1620">
        <f t="shared" si="35"/>
        <v>1519</v>
      </c>
      <c r="BO28" s="1616">
        <f t="shared" si="52"/>
        <v>462.99120000000005</v>
      </c>
      <c r="BP28" s="1146">
        <f t="shared" si="49"/>
        <v>1</v>
      </c>
      <c r="BQ28" s="1533"/>
      <c r="BR28" s="1533"/>
      <c r="BS28" s="1595">
        <f t="shared" si="38"/>
        <v>42</v>
      </c>
      <c r="BT28" s="1596">
        <f t="shared" si="39"/>
        <v>18</v>
      </c>
      <c r="BU28" s="1597">
        <f t="shared" si="40"/>
        <v>76</v>
      </c>
      <c r="BV28" s="1598">
        <f t="shared" si="41"/>
        <v>1519</v>
      </c>
      <c r="BW28" s="1599">
        <f t="shared" si="42"/>
        <v>462.99120000000005</v>
      </c>
      <c r="BX28" s="1584"/>
      <c r="BY28" s="1601">
        <f>'SMMR-Calcs'!H33</f>
        <v>28.392214258758951</v>
      </c>
      <c r="BZ28" s="1602">
        <f>'SMMR-Calcs'!K33</f>
        <v>12.784568372803667</v>
      </c>
      <c r="CA28" s="1602">
        <f>'SMMR-Calcs'!L33</f>
        <v>91.37236</v>
      </c>
      <c r="CB28" s="1603">
        <f>'SMMR-Calcs'!M33</f>
        <v>72.615539999999996</v>
      </c>
      <c r="CC28" s="1604">
        <f>'SMMR-Calcs'!S33</f>
        <v>37.251309560963868</v>
      </c>
      <c r="CD28" s="1605">
        <f>'SMMR-Calcs'!R33</f>
        <v>6.680997613711738E-2</v>
      </c>
      <c r="CE28" s="1606">
        <f>'SMMR-Calcs'!AS33</f>
        <v>518.04190591446979</v>
      </c>
      <c r="CF28" s="1607">
        <f>'SMMR-Calcs'!AT33</f>
        <v>0.10892403091061759</v>
      </c>
      <c r="CG28" s="1608">
        <f>'SMMR-Calcs'!AV33</f>
        <v>1678.4557751628822</v>
      </c>
      <c r="CH28" s="1584"/>
      <c r="CI28" s="1737">
        <f>$BM$52</f>
        <v>34</v>
      </c>
      <c r="CJ28" s="1609"/>
      <c r="CK28" s="1609"/>
      <c r="CL28" s="1609"/>
      <c r="CM28" s="1609"/>
      <c r="CN28" s="1609"/>
      <c r="CO28" s="1609"/>
      <c r="CP28" s="1609"/>
      <c r="CQ28" s="1737">
        <f>$BM$52</f>
        <v>34</v>
      </c>
      <c r="CR28" s="1538"/>
      <c r="CS28" s="1538"/>
      <c r="CT28" s="1610">
        <f t="shared" si="43"/>
        <v>42</v>
      </c>
      <c r="CU28" s="1611">
        <f t="shared" si="44"/>
        <v>18</v>
      </c>
      <c r="CV28" s="1612">
        <f t="shared" si="45"/>
        <v>76</v>
      </c>
      <c r="CW28" s="19">
        <f t="shared" si="46"/>
        <v>1519</v>
      </c>
      <c r="CX28" s="1100">
        <f t="shared" si="47"/>
        <v>462.99120000000005</v>
      </c>
      <c r="CY28" s="1584"/>
      <c r="CZ28" s="1601">
        <f>'WNTR-Calcs'!H33</f>
        <v>28.392214258758951</v>
      </c>
      <c r="DA28" s="1602">
        <f>'WNTR-Calcs'!K33</f>
        <v>21.6768525592055</v>
      </c>
      <c r="DB28" s="1602">
        <f>'WNTR-Calcs'!L33</f>
        <v>-23.62764</v>
      </c>
      <c r="DC28" s="1603">
        <f>'WNTR-Calcs'!M33</f>
        <v>-22.384460000000001</v>
      </c>
      <c r="DD28" s="1604">
        <f>'WNTR-Calcs'!S33</f>
        <v>-5.0450547434229671</v>
      </c>
      <c r="DE28" s="1605">
        <f>'WNTR-Calcs'!R33</f>
        <v>8.62344864339991E-2</v>
      </c>
      <c r="DF28" s="1606">
        <f>'WNTR-Calcs'!AS33</f>
        <v>-2676.6604738795163</v>
      </c>
      <c r="DG28" s="1607">
        <f>'WNTR-Calcs'!AT33</f>
        <v>-0.56279742018055368</v>
      </c>
      <c r="DH28" s="1608">
        <f>'WNTR-Calcs'!AV33</f>
        <v>-8672.379935369634</v>
      </c>
      <c r="DI28" s="1584"/>
      <c r="DJ28" s="1737">
        <f>$BM$52</f>
        <v>34</v>
      </c>
      <c r="DK28" s="1609"/>
      <c r="DL28" s="1609"/>
      <c r="DM28" s="1609"/>
      <c r="DN28" s="1609"/>
      <c r="DO28" s="1609"/>
      <c r="DP28" s="1609"/>
      <c r="DQ28" s="1609"/>
      <c r="DR28" s="1737">
        <f>$BM$52</f>
        <v>34</v>
      </c>
      <c r="DS28" s="1520"/>
    </row>
    <row r="29" spans="2:123" ht="18" customHeight="1">
      <c r="B29" s="1930" t="s">
        <v>722</v>
      </c>
      <c r="C29" s="1926"/>
      <c r="D29" s="1926"/>
      <c r="E29" s="1926"/>
      <c r="F29" s="1926"/>
      <c r="G29" s="1927" t="s">
        <v>85</v>
      </c>
      <c r="H29" s="1926"/>
      <c r="I29" s="1926"/>
      <c r="J29" s="1926"/>
      <c r="K29" s="1926"/>
      <c r="L29" s="1926"/>
      <c r="M29" s="1926"/>
      <c r="N29" s="1926"/>
      <c r="O29" s="1928"/>
      <c r="P29" s="2040" t="s">
        <v>723</v>
      </c>
      <c r="Q29" s="2017"/>
      <c r="R29" s="2016" t="s">
        <v>907</v>
      </c>
      <c r="S29" s="2017"/>
      <c r="T29" s="2040" t="s">
        <v>723</v>
      </c>
      <c r="U29" s="2042"/>
      <c r="V29" s="2017"/>
      <c r="W29" s="2016" t="s">
        <v>907</v>
      </c>
      <c r="X29" s="2042"/>
      <c r="Y29" s="2043"/>
      <c r="Z29" s="760"/>
      <c r="AA29" s="1045" t="s">
        <v>870</v>
      </c>
      <c r="AB29" s="755"/>
      <c r="AC29" s="755"/>
      <c r="AD29" s="755"/>
      <c r="AE29" s="755"/>
      <c r="AF29" s="755"/>
      <c r="AG29" s="755"/>
      <c r="AH29" s="755"/>
      <c r="AI29" s="755"/>
      <c r="AJ29" s="755"/>
      <c r="AK29" s="755"/>
      <c r="AL29" s="755"/>
      <c r="AM29" s="817"/>
      <c r="AN29" s="817"/>
      <c r="AO29" s="790"/>
      <c r="AP29" s="910"/>
      <c r="AQ29" s="911"/>
      <c r="AR29" s="911"/>
      <c r="AS29" s="911"/>
      <c r="AT29" s="911"/>
      <c r="AU29" s="911"/>
      <c r="AV29" s="912"/>
      <c r="AW29" s="870"/>
      <c r="AY29" s="1397"/>
      <c r="AZ29" s="1398"/>
      <c r="BA29" s="1295" t="s">
        <v>853</v>
      </c>
      <c r="BB29" s="1422">
        <v>1.99E-3</v>
      </c>
      <c r="BC29" s="1422">
        <v>1.99E-3</v>
      </c>
      <c r="BD29" s="1422">
        <v>1.99E-3</v>
      </c>
      <c r="BE29" s="1422">
        <v>1.99E-3</v>
      </c>
      <c r="BF29" s="1422">
        <v>1.99E-3</v>
      </c>
      <c r="BG29" s="1422">
        <v>1.99E-3</v>
      </c>
      <c r="BH29" s="1422">
        <v>1.99E-3</v>
      </c>
      <c r="BI29" s="1423">
        <v>1.99E-3</v>
      </c>
      <c r="BK29" s="1613">
        <f t="shared" si="51"/>
        <v>41</v>
      </c>
      <c r="BL29" s="1614">
        <v>16</v>
      </c>
      <c r="BM29" s="1615">
        <f t="shared" si="34"/>
        <v>74</v>
      </c>
      <c r="BN29" s="1620">
        <f t="shared" si="35"/>
        <v>1499</v>
      </c>
      <c r="BO29" s="1616">
        <f t="shared" si="52"/>
        <v>456.89520000000005</v>
      </c>
      <c r="BP29" s="1146">
        <f t="shared" si="49"/>
        <v>1</v>
      </c>
      <c r="BQ29" s="1533"/>
      <c r="BR29" s="1533"/>
      <c r="BS29" s="1595">
        <f t="shared" si="38"/>
        <v>41</v>
      </c>
      <c r="BT29" s="1596">
        <f t="shared" si="39"/>
        <v>16</v>
      </c>
      <c r="BU29" s="1597">
        <f t="shared" si="40"/>
        <v>74</v>
      </c>
      <c r="BV29" s="1598">
        <f t="shared" si="41"/>
        <v>1499</v>
      </c>
      <c r="BW29" s="1599">
        <f t="shared" si="42"/>
        <v>456.89520000000005</v>
      </c>
      <c r="BX29" s="1584"/>
      <c r="BY29" s="1601">
        <f>'SMMR-Calcs'!H34</f>
        <v>28.412955804658843</v>
      </c>
      <c r="BZ29" s="1602">
        <f>'SMMR-Calcs'!K34</f>
        <v>12.631779984721161</v>
      </c>
      <c r="CA29" s="1602">
        <f>'SMMR-Calcs'!L34</f>
        <v>91.443560000000005</v>
      </c>
      <c r="CB29" s="1603">
        <f>'SMMR-Calcs'!M34</f>
        <v>72.66234</v>
      </c>
      <c r="CC29" s="1604">
        <f>'SMMR-Calcs'!S34</f>
        <v>37.279954643031118</v>
      </c>
      <c r="CD29" s="1605">
        <f>'SMMR-Calcs'!R34</f>
        <v>6.6849085078599726E-2</v>
      </c>
      <c r="CE29" s="1606">
        <f>'SMMR-Calcs'!AS34</f>
        <v>464.67915322421112</v>
      </c>
      <c r="CF29" s="1607">
        <f>'SMMR-Calcs'!AT34</f>
        <v>9.7703922928718073E-2</v>
      </c>
      <c r="CG29" s="1608">
        <f>'SMMR-Calcs'!AV34</f>
        <v>1505.5604564464441</v>
      </c>
      <c r="CH29" s="1584"/>
      <c r="CI29" s="1737">
        <f>$BM$51</f>
        <v>37</v>
      </c>
      <c r="CJ29" s="1609"/>
      <c r="CK29" s="1609"/>
      <c r="CL29" s="1609"/>
      <c r="CM29" s="1609"/>
      <c r="CN29" s="1609"/>
      <c r="CO29" s="1609"/>
      <c r="CP29" s="1609"/>
      <c r="CQ29" s="1737">
        <f>$BM$51</f>
        <v>37</v>
      </c>
      <c r="CR29" s="1538"/>
      <c r="CS29" s="1538"/>
      <c r="CT29" s="1610">
        <f t="shared" si="43"/>
        <v>41</v>
      </c>
      <c r="CU29" s="1611">
        <f t="shared" si="44"/>
        <v>16</v>
      </c>
      <c r="CV29" s="1612">
        <f t="shared" si="45"/>
        <v>74</v>
      </c>
      <c r="CW29" s="19">
        <f t="shared" si="46"/>
        <v>1499</v>
      </c>
      <c r="CX29" s="1100">
        <f t="shared" si="47"/>
        <v>456.89520000000005</v>
      </c>
      <c r="CY29" s="1584"/>
      <c r="CZ29" s="1601">
        <f>'WNTR-Calcs'!H34</f>
        <v>28.412955804658843</v>
      </c>
      <c r="DA29" s="1602">
        <f>'WNTR-Calcs'!K34</f>
        <v>21.447669977081741</v>
      </c>
      <c r="DB29" s="1602">
        <f>'WNTR-Calcs'!L34</f>
        <v>-23.556439999999998</v>
      </c>
      <c r="DC29" s="1603">
        <f>'WNTR-Calcs'!M34</f>
        <v>-22.33766</v>
      </c>
      <c r="DD29" s="1604">
        <f>'WNTR-Calcs'!S34</f>
        <v>-5.0329260225777395</v>
      </c>
      <c r="DE29" s="1605">
        <f>'WNTR-Calcs'!R34</f>
        <v>8.6284052633877006E-2</v>
      </c>
      <c r="DF29" s="1606">
        <f>'WNTR-Calcs'!AS34</f>
        <v>-2608.3814696401851</v>
      </c>
      <c r="DG29" s="1607">
        <f>'WNTR-Calcs'!AT34</f>
        <v>-0.54844100560597875</v>
      </c>
      <c r="DH29" s="1608">
        <f>'WNTR-Calcs'!AV34</f>
        <v>-8451.1559616342001</v>
      </c>
      <c r="DI29" s="1584"/>
      <c r="DJ29" s="1737">
        <f>$BM$51</f>
        <v>37</v>
      </c>
      <c r="DK29" s="1609"/>
      <c r="DL29" s="1609"/>
      <c r="DM29" s="1609"/>
      <c r="DN29" s="1609"/>
      <c r="DO29" s="1609"/>
      <c r="DP29" s="1609"/>
      <c r="DQ29" s="1609"/>
      <c r="DR29" s="1737">
        <f>$BM$51</f>
        <v>37</v>
      </c>
      <c r="DS29" s="1520"/>
    </row>
    <row r="30" spans="2:123" ht="18" customHeight="1" thickBot="1">
      <c r="B30" s="1262" t="s">
        <v>801</v>
      </c>
      <c r="C30" s="1258"/>
      <c r="D30" s="1258"/>
      <c r="E30" s="1258"/>
      <c r="F30" s="1258"/>
      <c r="G30" s="1259"/>
      <c r="H30" s="1258"/>
      <c r="I30" s="1258"/>
      <c r="J30" s="1258"/>
      <c r="K30" s="1282"/>
      <c r="L30" s="1258"/>
      <c r="M30" s="1284" t="s">
        <v>910</v>
      </c>
      <c r="N30" s="1283"/>
      <c r="O30" s="1269"/>
      <c r="P30" s="1273"/>
      <c r="Q30" s="1274"/>
      <c r="R30" s="1275"/>
      <c r="S30" s="1276"/>
      <c r="T30" s="1277" t="s">
        <v>909</v>
      </c>
      <c r="U30" s="1278"/>
      <c r="V30" s="1285"/>
      <c r="W30" s="1286"/>
      <c r="X30" s="1279"/>
      <c r="Y30" s="1280"/>
      <c r="Z30" s="760"/>
      <c r="AA30" s="1046" t="s">
        <v>871</v>
      </c>
      <c r="AB30" s="754"/>
      <c r="AC30" s="754"/>
      <c r="AD30" s="754"/>
      <c r="AE30" s="754"/>
      <c r="AF30" s="754"/>
      <c r="AG30" s="755"/>
      <c r="AH30" s="755"/>
      <c r="AI30" s="755"/>
      <c r="AJ30" s="755"/>
      <c r="AK30" s="755"/>
      <c r="AL30" s="755"/>
      <c r="AM30" s="755"/>
      <c r="AN30" s="817"/>
      <c r="AO30" s="790"/>
      <c r="AP30" s="910"/>
      <c r="AQ30" s="911"/>
      <c r="AR30" s="911"/>
      <c r="AS30" s="911"/>
      <c r="AT30" s="911"/>
      <c r="AU30" s="911"/>
      <c r="AV30" s="912"/>
      <c r="AW30" s="870"/>
      <c r="AY30" s="1397"/>
      <c r="AZ30" s="1398"/>
      <c r="BA30" s="1295" t="s">
        <v>901</v>
      </c>
      <c r="BB30" s="1421">
        <v>6.4999999999999997E-4</v>
      </c>
      <c r="BC30" s="1422">
        <v>2.5000000000000001E-4</v>
      </c>
      <c r="BD30" s="1422">
        <v>1.7000000000000001E-4</v>
      </c>
      <c r="BE30" s="1422">
        <v>1.7000000000000001E-4</v>
      </c>
      <c r="BF30" s="1422">
        <v>3.5E-4</v>
      </c>
      <c r="BG30" s="1422">
        <v>3.5E-4</v>
      </c>
      <c r="BH30" s="1422">
        <v>3.5E-4</v>
      </c>
      <c r="BI30" s="1423">
        <v>2.5000000000000001E-4</v>
      </c>
      <c r="BK30" s="1613">
        <f t="shared" si="51"/>
        <v>40</v>
      </c>
      <c r="BL30" s="1614">
        <v>13</v>
      </c>
      <c r="BM30" s="1615">
        <f t="shared" si="34"/>
        <v>71</v>
      </c>
      <c r="BN30" s="1620">
        <f t="shared" si="35"/>
        <v>1469</v>
      </c>
      <c r="BO30" s="1616">
        <f t="shared" si="52"/>
        <v>447.75120000000004</v>
      </c>
      <c r="BP30" s="1146">
        <f t="shared" si="49"/>
        <v>1</v>
      </c>
      <c r="BQ30" s="1533"/>
      <c r="BR30" s="1533"/>
      <c r="BS30" s="1595">
        <f t="shared" si="38"/>
        <v>40</v>
      </c>
      <c r="BT30" s="1596">
        <f t="shared" si="39"/>
        <v>13</v>
      </c>
      <c r="BU30" s="1597">
        <f t="shared" si="40"/>
        <v>71</v>
      </c>
      <c r="BV30" s="1598">
        <f t="shared" si="41"/>
        <v>1469</v>
      </c>
      <c r="BW30" s="1599">
        <f t="shared" si="42"/>
        <v>447.75120000000004</v>
      </c>
      <c r="BX30" s="1584"/>
      <c r="BY30" s="1601">
        <f>'SMMR-Calcs'!H35</f>
        <v>28.444091126970015</v>
      </c>
      <c r="BZ30" s="1602">
        <f>'SMMR-Calcs'!K35</f>
        <v>12.402597402597403</v>
      </c>
      <c r="CA30" s="1602">
        <f>'SMMR-Calcs'!L35</f>
        <v>91.550359999999998</v>
      </c>
      <c r="CB30" s="1603">
        <f>'SMMR-Calcs'!M35</f>
        <v>72.73254</v>
      </c>
      <c r="CC30" s="1604">
        <f>'SMMR-Calcs'!S35</f>
        <v>37.322943647513853</v>
      </c>
      <c r="CD30" s="1605">
        <f>'SMMR-Calcs'!R35</f>
        <v>6.6907778889820663E-2</v>
      </c>
      <c r="CE30" s="1606">
        <f>'SMMR-Calcs'!AS35</f>
        <v>369.16188489828176</v>
      </c>
      <c r="CF30" s="1607">
        <f>'SMMR-Calcs'!AT35</f>
        <v>7.7620362566423684E-2</v>
      </c>
      <c r="CG30" s="1608">
        <f>'SMMR-Calcs'!AV35</f>
        <v>1196.0845070704329</v>
      </c>
      <c r="CH30" s="1584"/>
      <c r="CI30" s="1737">
        <f>$BM$50</f>
        <v>36</v>
      </c>
      <c r="CJ30" s="1609"/>
      <c r="CK30" s="1609"/>
      <c r="CL30" s="1609"/>
      <c r="CM30" s="1609"/>
      <c r="CN30" s="1609"/>
      <c r="CO30" s="1609"/>
      <c r="CP30" s="1609"/>
      <c r="CQ30" s="1737">
        <f>$BM$50</f>
        <v>36</v>
      </c>
      <c r="CR30" s="1538"/>
      <c r="CS30" s="1538"/>
      <c r="CT30" s="1610">
        <f t="shared" si="43"/>
        <v>40</v>
      </c>
      <c r="CU30" s="1611">
        <f t="shared" si="44"/>
        <v>13</v>
      </c>
      <c r="CV30" s="1612">
        <f t="shared" si="45"/>
        <v>71</v>
      </c>
      <c r="CW30" s="19">
        <f t="shared" si="46"/>
        <v>1469</v>
      </c>
      <c r="CX30" s="1100">
        <f t="shared" si="47"/>
        <v>447.75120000000004</v>
      </c>
      <c r="CY30" s="1584"/>
      <c r="CZ30" s="1601">
        <f>'WNTR-Calcs'!H35</f>
        <v>28.444091126970015</v>
      </c>
      <c r="DA30" s="1602">
        <f>'WNTR-Calcs'!K35</f>
        <v>21.103896103896105</v>
      </c>
      <c r="DB30" s="1602">
        <f>'WNTR-Calcs'!L35</f>
        <v>-23.449639999999999</v>
      </c>
      <c r="DC30" s="1603">
        <f>'WNTR-Calcs'!M35</f>
        <v>-22.26746</v>
      </c>
      <c r="DD30" s="1604">
        <f>'WNTR-Calcs'!S35</f>
        <v>-5.0147322132292818</v>
      </c>
      <c r="DE30" s="1605">
        <f>'WNTR-Calcs'!R35</f>
        <v>8.6358443083641434E-2</v>
      </c>
      <c r="DF30" s="1606">
        <f>'WNTR-Calcs'!AS35</f>
        <v>-2502.6764778221677</v>
      </c>
      <c r="DG30" s="1607">
        <f>'WNTR-Calcs'!AT35</f>
        <v>-0.52621536388715362</v>
      </c>
      <c r="DH30" s="1608">
        <f>'WNTR-Calcs'!AV35</f>
        <v>-8108.6717881438244</v>
      </c>
      <c r="DI30" s="1584"/>
      <c r="DJ30" s="1737">
        <f>$BM$50</f>
        <v>36</v>
      </c>
      <c r="DK30" s="1609"/>
      <c r="DL30" s="1609"/>
      <c r="DM30" s="1609"/>
      <c r="DN30" s="1609"/>
      <c r="DO30" s="1609"/>
      <c r="DP30" s="1609"/>
      <c r="DQ30" s="1609"/>
      <c r="DR30" s="1737">
        <f>$BM$50</f>
        <v>36</v>
      </c>
      <c r="DS30" s="1520"/>
    </row>
    <row r="31" spans="2:123" ht="18" customHeight="1">
      <c r="B31" s="1263" t="s">
        <v>767</v>
      </c>
      <c r="C31" s="761"/>
      <c r="D31" s="761"/>
      <c r="E31" s="881"/>
      <c r="F31" s="1293"/>
      <c r="G31" s="1289" t="s">
        <v>784</v>
      </c>
      <c r="H31" s="761"/>
      <c r="I31" s="761"/>
      <c r="J31" s="761"/>
      <c r="K31" s="761"/>
      <c r="L31" s="761"/>
      <c r="M31" s="761"/>
      <c r="N31" s="761"/>
      <c r="O31" s="881"/>
      <c r="P31" s="2041">
        <v>4.2</v>
      </c>
      <c r="Q31" s="2019"/>
      <c r="R31" s="2018">
        <v>11.4</v>
      </c>
      <c r="S31" s="2019"/>
      <c r="T31" s="1962">
        <f>P31*$B$28</f>
        <v>4.2000000000000007E-4</v>
      </c>
      <c r="U31" s="1963"/>
      <c r="V31" s="1986"/>
      <c r="W31" s="1962">
        <f>R31*$B$28</f>
        <v>1.1400000000000002E-3</v>
      </c>
      <c r="X31" s="1963"/>
      <c r="Y31" s="1964"/>
      <c r="Z31" s="788"/>
      <c r="AA31" s="2034" t="s">
        <v>123</v>
      </c>
      <c r="AB31" s="2035"/>
      <c r="AC31" s="2036"/>
      <c r="AD31" s="2056" t="s">
        <v>124</v>
      </c>
      <c r="AE31" s="2035"/>
      <c r="AF31" s="2057"/>
      <c r="AG31" s="755"/>
      <c r="AH31" s="755"/>
      <c r="AI31" s="755"/>
      <c r="AJ31" s="755"/>
      <c r="AK31" s="755"/>
      <c r="AL31" s="755"/>
      <c r="AM31" s="817"/>
      <c r="AN31" s="817"/>
      <c r="AO31" s="790"/>
      <c r="AP31" s="910"/>
      <c r="AQ31" s="911"/>
      <c r="AR31" s="911"/>
      <c r="AS31" s="911"/>
      <c r="AT31" s="911"/>
      <c r="AU31" s="911"/>
      <c r="AV31" s="912"/>
      <c r="AW31" s="870"/>
      <c r="AY31" s="1397"/>
      <c r="AZ31" s="1398"/>
      <c r="BA31" s="1295" t="s">
        <v>20</v>
      </c>
      <c r="BB31" s="1424">
        <v>0.65</v>
      </c>
      <c r="BC31" s="1424">
        <v>0.65</v>
      </c>
      <c r="BD31" s="1424">
        <v>0.65</v>
      </c>
      <c r="BE31" s="1424">
        <v>0.65</v>
      </c>
      <c r="BF31" s="1424">
        <v>0.65</v>
      </c>
      <c r="BG31" s="1424">
        <v>0.65</v>
      </c>
      <c r="BH31" s="1424">
        <v>0.65</v>
      </c>
      <c r="BI31" s="1946">
        <v>0.65</v>
      </c>
      <c r="BK31" s="1613">
        <f t="shared" si="51"/>
        <v>39</v>
      </c>
      <c r="BL31" s="1614">
        <v>10</v>
      </c>
      <c r="BM31" s="1615">
        <f t="shared" si="34"/>
        <v>68</v>
      </c>
      <c r="BN31" s="1620">
        <f t="shared" si="35"/>
        <v>1439</v>
      </c>
      <c r="BO31" s="1616">
        <f t="shared" si="52"/>
        <v>438.60720000000003</v>
      </c>
      <c r="BP31" s="1146">
        <f t="shared" si="49"/>
        <v>1</v>
      </c>
      <c r="BQ31" s="1533"/>
      <c r="BR31" s="1533"/>
      <c r="BS31" s="1595">
        <f t="shared" si="38"/>
        <v>39</v>
      </c>
      <c r="BT31" s="1596">
        <f t="shared" si="39"/>
        <v>10</v>
      </c>
      <c r="BU31" s="1597">
        <f t="shared" si="40"/>
        <v>68</v>
      </c>
      <c r="BV31" s="1598">
        <f t="shared" si="41"/>
        <v>1439</v>
      </c>
      <c r="BW31" s="1599">
        <f t="shared" si="42"/>
        <v>438.60720000000003</v>
      </c>
      <c r="BX31" s="1584"/>
      <c r="BY31" s="1601">
        <f>'SMMR-Calcs'!H36</f>
        <v>28.47525407008645</v>
      </c>
      <c r="BZ31" s="1602">
        <f>'SMMR-Calcs'!K36</f>
        <v>12.173414820473644</v>
      </c>
      <c r="CA31" s="1602">
        <f>'SMMR-Calcs'!L36</f>
        <v>91.657160000000005</v>
      </c>
      <c r="CB31" s="1603">
        <f>'SMMR-Calcs'!M36</f>
        <v>72.80274</v>
      </c>
      <c r="CC31" s="1604">
        <f>'SMMR-Calcs'!S36</f>
        <v>37.365958324059804</v>
      </c>
      <c r="CD31" s="1605">
        <f>'SMMR-Calcs'!R36</f>
        <v>6.6966509188677054E-2</v>
      </c>
      <c r="CE31" s="1606">
        <f>'SMMR-Calcs'!AS36</f>
        <v>235.48265257311832</v>
      </c>
      <c r="CF31" s="1607">
        <f>'SMMR-Calcs'!AT36</f>
        <v>4.9512827890845192E-2</v>
      </c>
      <c r="CG31" s="1608">
        <f>'SMMR-Calcs'!AV36</f>
        <v>762.96379433690333</v>
      </c>
      <c r="CH31" s="1584"/>
      <c r="CI31" s="1737">
        <f>$BM$49</f>
        <v>38</v>
      </c>
      <c r="CJ31" s="1609"/>
      <c r="CK31" s="1609"/>
      <c r="CL31" s="1609"/>
      <c r="CM31" s="1609"/>
      <c r="CN31" s="1609"/>
      <c r="CO31" s="1609"/>
      <c r="CP31" s="1609"/>
      <c r="CQ31" s="1737">
        <f>$BM$49</f>
        <v>38</v>
      </c>
      <c r="CR31" s="1538"/>
      <c r="CS31" s="1538"/>
      <c r="CT31" s="1610">
        <f t="shared" si="43"/>
        <v>39</v>
      </c>
      <c r="CU31" s="1611">
        <f t="shared" si="44"/>
        <v>10</v>
      </c>
      <c r="CV31" s="1612">
        <f t="shared" si="45"/>
        <v>68</v>
      </c>
      <c r="CW31" s="19">
        <f t="shared" si="46"/>
        <v>1439</v>
      </c>
      <c r="CX31" s="1100">
        <f t="shared" si="47"/>
        <v>438.60720000000003</v>
      </c>
      <c r="CY31" s="1584"/>
      <c r="CZ31" s="1601">
        <f>'WNTR-Calcs'!H36</f>
        <v>28.47525407008645</v>
      </c>
      <c r="DA31" s="1602">
        <f>'WNTR-Calcs'!K36</f>
        <v>20.760122230710465</v>
      </c>
      <c r="DB31" s="1602">
        <f>'WNTR-Calcs'!L36</f>
        <v>-23.342839999999999</v>
      </c>
      <c r="DC31" s="1603">
        <f>'WNTR-Calcs'!M36</f>
        <v>-22.19726</v>
      </c>
      <c r="DD31" s="1604">
        <f>'WNTR-Calcs'!S36</f>
        <v>-4.9965375272070247</v>
      </c>
      <c r="DE31" s="1605">
        <f>'WNTR-Calcs'!R36</f>
        <v>8.6432882933297109E-2</v>
      </c>
      <c r="DF31" s="1606">
        <f>'WNTR-Calcs'!AS36</f>
        <v>-2392.5616668333601</v>
      </c>
      <c r="DG31" s="1607">
        <f>'WNTR-Calcs'!AT36</f>
        <v>-0.5030625089946732</v>
      </c>
      <c r="DH31" s="1608">
        <f>'WNTR-Calcs'!AV36</f>
        <v>-7751.8998005400881</v>
      </c>
      <c r="DI31" s="1584"/>
      <c r="DJ31" s="1737">
        <f>$BM$49</f>
        <v>38</v>
      </c>
      <c r="DK31" s="1609"/>
      <c r="DL31" s="1609"/>
      <c r="DM31" s="1609"/>
      <c r="DN31" s="1609"/>
      <c r="DO31" s="1609"/>
      <c r="DP31" s="1609"/>
      <c r="DQ31" s="1609"/>
      <c r="DR31" s="1737">
        <f>$BM$49</f>
        <v>38</v>
      </c>
      <c r="DS31" s="1520"/>
    </row>
    <row r="32" spans="2:123" ht="18" customHeight="1" thickBot="1">
      <c r="B32" s="1264" t="s">
        <v>768</v>
      </c>
      <c r="C32" s="755"/>
      <c r="D32" s="755"/>
      <c r="E32" s="790"/>
      <c r="F32" s="1270"/>
      <c r="G32" s="1290" t="s">
        <v>785</v>
      </c>
      <c r="H32" s="755"/>
      <c r="I32" s="755"/>
      <c r="J32" s="755"/>
      <c r="K32" s="755"/>
      <c r="L32" s="755"/>
      <c r="M32" s="755"/>
      <c r="N32" s="755"/>
      <c r="O32" s="790"/>
      <c r="P32" s="2022">
        <v>4</v>
      </c>
      <c r="Q32" s="2005"/>
      <c r="R32" s="2004">
        <v>10</v>
      </c>
      <c r="S32" s="2005"/>
      <c r="T32" s="1962">
        <f>P32*$B$28</f>
        <v>4.0000000000000007E-4</v>
      </c>
      <c r="U32" s="1963"/>
      <c r="V32" s="1986"/>
      <c r="W32" s="1962">
        <f>R32*$B$28</f>
        <v>1.0000000000000002E-3</v>
      </c>
      <c r="X32" s="1963"/>
      <c r="Y32" s="1964"/>
      <c r="Z32" s="788"/>
      <c r="AA32" s="2027" t="s">
        <v>152</v>
      </c>
      <c r="AB32" s="2028"/>
      <c r="AC32" s="2029"/>
      <c r="AD32" s="2044" t="s">
        <v>825</v>
      </c>
      <c r="AE32" s="2028"/>
      <c r="AF32" s="2045"/>
      <c r="AG32" s="755"/>
      <c r="AH32" s="755"/>
      <c r="AI32" s="755"/>
      <c r="AJ32" s="755"/>
      <c r="AK32" s="755"/>
      <c r="AL32" s="755"/>
      <c r="AM32" s="817"/>
      <c r="AN32" s="817"/>
      <c r="AO32" s="790"/>
      <c r="AP32" s="910"/>
      <c r="AQ32" s="911"/>
      <c r="AR32" s="911"/>
      <c r="AS32" s="911"/>
      <c r="AT32" s="911"/>
      <c r="AU32" s="911"/>
      <c r="AV32" s="912"/>
      <c r="AW32" s="870"/>
      <c r="AY32" s="1955"/>
      <c r="AZ32" s="1956"/>
      <c r="BA32" s="1957" t="s">
        <v>917</v>
      </c>
      <c r="BB32" s="1944">
        <v>5.0000000000000001E-3</v>
      </c>
      <c r="BC32" s="1944">
        <v>1.4999999999999999E-2</v>
      </c>
      <c r="BD32" s="1944">
        <v>2.5000000000000001E-2</v>
      </c>
      <c r="BE32" s="1944">
        <v>2.5000000000000001E-2</v>
      </c>
      <c r="BF32" s="1944">
        <v>0.02</v>
      </c>
      <c r="BG32" s="1944">
        <v>0.01</v>
      </c>
      <c r="BH32" s="1944">
        <v>0.01</v>
      </c>
      <c r="BI32" s="1947">
        <v>1.4999999999999999E-2</v>
      </c>
      <c r="BK32" s="1613">
        <f t="shared" si="51"/>
        <v>38</v>
      </c>
      <c r="BL32" s="1614">
        <v>7</v>
      </c>
      <c r="BM32" s="1615">
        <f t="shared" si="34"/>
        <v>65</v>
      </c>
      <c r="BN32" s="1620">
        <f t="shared" si="35"/>
        <v>1409</v>
      </c>
      <c r="BO32" s="1616">
        <f t="shared" si="52"/>
        <v>429.46320000000003</v>
      </c>
      <c r="BP32" s="1146">
        <f t="shared" si="49"/>
        <v>1</v>
      </c>
      <c r="BQ32" s="1533"/>
      <c r="BR32" s="1533"/>
      <c r="BS32" s="1595">
        <f t="shared" si="38"/>
        <v>38</v>
      </c>
      <c r="BT32" s="1596">
        <f t="shared" si="39"/>
        <v>7</v>
      </c>
      <c r="BU32" s="1597">
        <f t="shared" si="40"/>
        <v>65</v>
      </c>
      <c r="BV32" s="1598">
        <f t="shared" si="41"/>
        <v>1409</v>
      </c>
      <c r="BW32" s="1599">
        <f t="shared" si="42"/>
        <v>429.46320000000003</v>
      </c>
      <c r="BX32" s="1622"/>
      <c r="BY32" s="1601">
        <f>'SMMR-Calcs'!H37</f>
        <v>28.506444652749256</v>
      </c>
      <c r="BZ32" s="1602">
        <f>'SMMR-Calcs'!K37</f>
        <v>11.944232238349885</v>
      </c>
      <c r="CA32" s="1602">
        <f>'SMMR-Calcs'!L37</f>
        <v>91.763959999999997</v>
      </c>
      <c r="CB32" s="1603">
        <f>'SMMR-Calcs'!M37</f>
        <v>72.87294</v>
      </c>
      <c r="CC32" s="1604">
        <f>'SMMR-Calcs'!S37</f>
        <v>37.408998688876252</v>
      </c>
      <c r="CD32" s="1605">
        <f>'SMMR-Calcs'!R37</f>
        <v>6.7025275985105132E-2</v>
      </c>
      <c r="CE32" s="1606">
        <f>'SMMR-Calcs'!AS37</f>
        <v>-162.96789980422949</v>
      </c>
      <c r="CF32" s="1607">
        <f>'SMMR-Calcs'!AT37</f>
        <v>-3.4265800417013138E-2</v>
      </c>
      <c r="CG32" s="1608">
        <f>'SMMR-Calcs'!AV37</f>
        <v>-528.01599536570359</v>
      </c>
      <c r="CH32" s="1584"/>
      <c r="CI32" s="1737">
        <f>$BM$48</f>
        <v>40</v>
      </c>
      <c r="CJ32" s="1609"/>
      <c r="CK32" s="1609"/>
      <c r="CL32" s="1609"/>
      <c r="CM32" s="1609"/>
      <c r="CN32" s="1609"/>
      <c r="CO32" s="1609"/>
      <c r="CP32" s="1609"/>
      <c r="CQ32" s="1737">
        <f>$BM$48</f>
        <v>40</v>
      </c>
      <c r="CR32" s="1538"/>
      <c r="CS32" s="1538"/>
      <c r="CT32" s="1610">
        <f t="shared" si="43"/>
        <v>38</v>
      </c>
      <c r="CU32" s="1611">
        <f t="shared" si="44"/>
        <v>7</v>
      </c>
      <c r="CV32" s="1612">
        <f t="shared" si="45"/>
        <v>65</v>
      </c>
      <c r="CW32" s="19">
        <f t="shared" si="46"/>
        <v>1409</v>
      </c>
      <c r="CX32" s="1100">
        <f t="shared" si="47"/>
        <v>429.46320000000003</v>
      </c>
      <c r="CY32" s="1584"/>
      <c r="CZ32" s="1601">
        <f>'WNTR-Calcs'!H37</f>
        <v>28.506444652749256</v>
      </c>
      <c r="DA32" s="1602">
        <f>'WNTR-Calcs'!K37</f>
        <v>20.416348357524829</v>
      </c>
      <c r="DB32" s="1602">
        <f>'WNTR-Calcs'!L37</f>
        <v>-23.236039999999999</v>
      </c>
      <c r="DC32" s="1603">
        <f>'WNTR-Calcs'!M37</f>
        <v>-22.12706</v>
      </c>
      <c r="DD32" s="1604">
        <f>'WNTR-Calcs'!S37</f>
        <v>-4.9783419611581703</v>
      </c>
      <c r="DE32" s="1605">
        <f>'WNTR-Calcs'!R37</f>
        <v>8.6507372205295613E-2</v>
      </c>
      <c r="DF32" s="1606">
        <f>'WNTR-Calcs'!AS37</f>
        <v>-2277.3974667092748</v>
      </c>
      <c r="DG32" s="1607">
        <f>'WNTR-Calcs'!AT37</f>
        <v>-0.47884796428140541</v>
      </c>
      <c r="DH32" s="1608">
        <f>'WNTR-Calcs'!AV37</f>
        <v>-7378.7677921380509</v>
      </c>
      <c r="DI32" s="1584"/>
      <c r="DJ32" s="1737">
        <f>$BM$48</f>
        <v>40</v>
      </c>
      <c r="DK32" s="1609"/>
      <c r="DL32" s="1609"/>
      <c r="DM32" s="1609"/>
      <c r="DN32" s="1609"/>
      <c r="DO32" s="1609"/>
      <c r="DP32" s="1609"/>
      <c r="DQ32" s="1609"/>
      <c r="DR32" s="1737">
        <f>$BM$48</f>
        <v>40</v>
      </c>
      <c r="DS32" s="1520"/>
    </row>
    <row r="33" spans="2:123" ht="18" customHeight="1">
      <c r="B33" s="1264" t="s">
        <v>769</v>
      </c>
      <c r="C33" s="755"/>
      <c r="D33" s="755"/>
      <c r="E33" s="790"/>
      <c r="F33" s="1270"/>
      <c r="G33" s="1290" t="s">
        <v>786</v>
      </c>
      <c r="H33" s="755"/>
      <c r="I33" s="755"/>
      <c r="J33" s="755"/>
      <c r="K33" s="755"/>
      <c r="L33" s="755"/>
      <c r="M33" s="755"/>
      <c r="N33" s="755"/>
      <c r="O33" s="790"/>
      <c r="P33" s="2022">
        <v>9.1</v>
      </c>
      <c r="Q33" s="2005"/>
      <c r="R33" s="2004">
        <v>19.899999999999999</v>
      </c>
      <c r="S33" s="2005"/>
      <c r="T33" s="1962">
        <f>P33*$B$28</f>
        <v>9.1000000000000011E-4</v>
      </c>
      <c r="U33" s="1963"/>
      <c r="V33" s="1986"/>
      <c r="W33" s="1962">
        <f>R33*$B$28</f>
        <v>1.99E-3</v>
      </c>
      <c r="X33" s="1963"/>
      <c r="Y33" s="1964"/>
      <c r="Z33" s="788"/>
      <c r="AA33" s="2046">
        <v>0</v>
      </c>
      <c r="AB33" s="2047"/>
      <c r="AC33" s="2048"/>
      <c r="AD33" s="2058">
        <f t="shared" ref="AD33:AD67" si="53" xml:space="preserve"> AA33/($U$28*(2*$E$28)^0.5)</f>
        <v>0</v>
      </c>
      <c r="AE33" s="2059"/>
      <c r="AF33" s="2060"/>
      <c r="AG33" s="755"/>
      <c r="AH33" s="755"/>
      <c r="AI33" s="755"/>
      <c r="AJ33" s="755"/>
      <c r="AK33" s="755"/>
      <c r="AL33" s="755"/>
      <c r="AM33" s="755"/>
      <c r="AN33" s="755"/>
      <c r="AO33" s="790"/>
      <c r="AP33" s="910"/>
      <c r="AQ33" s="908" t="s">
        <v>728</v>
      </c>
      <c r="AR33" s="911"/>
      <c r="AS33" s="911"/>
      <c r="AT33" s="911"/>
      <c r="AU33" s="911"/>
      <c r="AV33" s="912"/>
      <c r="AW33" s="733"/>
      <c r="AY33" s="1373"/>
      <c r="AZ33" s="1374"/>
      <c r="BA33" s="1304" t="s">
        <v>899</v>
      </c>
      <c r="BB33" s="1405">
        <v>50</v>
      </c>
      <c r="BC33" s="1406">
        <v>30</v>
      </c>
      <c r="BD33" s="1406">
        <v>100</v>
      </c>
      <c r="BE33" s="1406">
        <v>150</v>
      </c>
      <c r="BF33" s="1406">
        <v>150</v>
      </c>
      <c r="BG33" s="1406">
        <v>250</v>
      </c>
      <c r="BH33" s="1406">
        <v>250</v>
      </c>
      <c r="BI33" s="1407">
        <v>75</v>
      </c>
      <c r="BK33" s="1613">
        <f>BK34+1</f>
        <v>37</v>
      </c>
      <c r="BL33" s="1614">
        <v>5</v>
      </c>
      <c r="BM33" s="1615">
        <f t="shared" si="34"/>
        <v>63</v>
      </c>
      <c r="BN33" s="1620">
        <f t="shared" si="35"/>
        <v>1389</v>
      </c>
      <c r="BO33" s="1616">
        <f>IF(BM33="XX", "XX", BN33*0.3048)</f>
        <v>423.36720000000003</v>
      </c>
      <c r="BP33" s="1146">
        <f t="shared" si="49"/>
        <v>1</v>
      </c>
      <c r="BQ33" s="1533"/>
      <c r="BR33" s="1533"/>
      <c r="BS33" s="1595">
        <f t="shared" si="38"/>
        <v>37</v>
      </c>
      <c r="BT33" s="1596">
        <f t="shared" si="39"/>
        <v>5</v>
      </c>
      <c r="BU33" s="1597">
        <f t="shared" si="40"/>
        <v>63</v>
      </c>
      <c r="BV33" s="1598">
        <f t="shared" si="41"/>
        <v>1389</v>
      </c>
      <c r="BW33" s="1599">
        <f t="shared" si="42"/>
        <v>423.36720000000003</v>
      </c>
      <c r="BX33" s="1600"/>
      <c r="BY33" s="1601">
        <f>'SMMR-Calcs'!H38</f>
        <v>28.527253739086895</v>
      </c>
      <c r="BZ33" s="1602">
        <f>'SMMR-Calcs'!K38</f>
        <v>11.791443850267379</v>
      </c>
      <c r="CA33" s="1602">
        <f>'SMMR-Calcs'!L38</f>
        <v>91.835160000000002</v>
      </c>
      <c r="CB33" s="1603">
        <f>'SMMR-Calcs'!M38</f>
        <v>72.919740000000004</v>
      </c>
      <c r="CC33" s="1604">
        <f>'SMMR-Calcs'!S38</f>
        <v>37.437706544686201</v>
      </c>
      <c r="CD33" s="1605">
        <f>'SMMR-Calcs'!R38</f>
        <v>6.7064474130722737E-2</v>
      </c>
      <c r="CE33" s="1606">
        <f>'SMMR-Calcs'!AS38</f>
        <v>-286.16264047687542</v>
      </c>
      <c r="CF33" s="1607">
        <f>'SMMR-Calcs'!AT38</f>
        <v>-6.0168854953431855E-2</v>
      </c>
      <c r="CG33" s="1608">
        <f>'SMMR-Calcs'!AV38</f>
        <v>-927.16695514507637</v>
      </c>
      <c r="CH33" s="1584"/>
      <c r="CI33" s="1737">
        <f>$BM$47</f>
        <v>43</v>
      </c>
      <c r="CJ33" s="1609"/>
      <c r="CK33" s="1609"/>
      <c r="CL33" s="1609"/>
      <c r="CM33" s="1609"/>
      <c r="CN33" s="1609"/>
      <c r="CO33" s="1609"/>
      <c r="CP33" s="1609"/>
      <c r="CQ33" s="1737">
        <f>$BM$47</f>
        <v>43</v>
      </c>
      <c r="CR33" s="1538"/>
      <c r="CS33" s="1538"/>
      <c r="CT33" s="1610">
        <f t="shared" si="43"/>
        <v>37</v>
      </c>
      <c r="CU33" s="1611">
        <f t="shared" si="44"/>
        <v>5</v>
      </c>
      <c r="CV33" s="1612">
        <f t="shared" si="45"/>
        <v>63</v>
      </c>
      <c r="CW33" s="19">
        <f t="shared" si="46"/>
        <v>1389</v>
      </c>
      <c r="CX33" s="1100">
        <f t="shared" si="47"/>
        <v>423.36720000000003</v>
      </c>
      <c r="CY33" s="1584"/>
      <c r="CZ33" s="1601">
        <f>'WNTR-Calcs'!H38</f>
        <v>28.527253739086895</v>
      </c>
      <c r="DA33" s="1602">
        <f>'WNTR-Calcs'!K38</f>
        <v>20.18716577540107</v>
      </c>
      <c r="DB33" s="1602">
        <f>'WNTR-Calcs'!L38</f>
        <v>-23.164839999999998</v>
      </c>
      <c r="DC33" s="1603">
        <f>'WNTR-Calcs'!M38</f>
        <v>-22.080259999999999</v>
      </c>
      <c r="DD33" s="1604">
        <f>'WNTR-Calcs'!S38</f>
        <v>-4.9662110932311201</v>
      </c>
      <c r="DE33" s="1605">
        <f>'WNTR-Calcs'!R38</f>
        <v>8.6557059187907556E-2</v>
      </c>
      <c r="DF33" s="1606">
        <f>'WNTR-Calcs'!AS38</f>
        <v>-2197.425536955488</v>
      </c>
      <c r="DG33" s="1607">
        <f>'WNTR-Calcs'!AT38</f>
        <v>-0.46203298300473356</v>
      </c>
      <c r="DH33" s="1608">
        <f>'WNTR-Calcs'!AV38</f>
        <v>-7119.6587397357816</v>
      </c>
      <c r="DI33" s="1584"/>
      <c r="DJ33" s="1737">
        <f>$BM$47</f>
        <v>43</v>
      </c>
      <c r="DK33" s="1609"/>
      <c r="DL33" s="1609"/>
      <c r="DM33" s="1609"/>
      <c r="DN33" s="1609"/>
      <c r="DO33" s="1609"/>
      <c r="DP33" s="1609"/>
      <c r="DQ33" s="1609"/>
      <c r="DR33" s="1737">
        <f>$BM$47</f>
        <v>43</v>
      </c>
      <c r="DS33" s="1520"/>
    </row>
    <row r="34" spans="2:123" ht="18" customHeight="1">
      <c r="B34" s="1264" t="s">
        <v>770</v>
      </c>
      <c r="C34" s="755"/>
      <c r="D34" s="755"/>
      <c r="E34" s="790"/>
      <c r="F34" s="1270"/>
      <c r="G34" s="1290" t="s">
        <v>787</v>
      </c>
      <c r="H34" s="755"/>
      <c r="I34" s="755"/>
      <c r="J34" s="755"/>
      <c r="K34" s="755"/>
      <c r="L34" s="755"/>
      <c r="M34" s="755"/>
      <c r="N34" s="755"/>
      <c r="O34" s="790"/>
      <c r="P34" s="2022">
        <v>8.6</v>
      </c>
      <c r="Q34" s="2005"/>
      <c r="R34" s="2004">
        <v>15.6</v>
      </c>
      <c r="S34" s="2005"/>
      <c r="T34" s="1962">
        <f>P34*$B$28</f>
        <v>8.6000000000000009E-4</v>
      </c>
      <c r="U34" s="1963"/>
      <c r="V34" s="1986"/>
      <c r="W34" s="1962">
        <f>R34*$B$28</f>
        <v>1.5600000000000002E-3</v>
      </c>
      <c r="X34" s="1963"/>
      <c r="Y34" s="1964"/>
      <c r="Z34" s="788"/>
      <c r="AA34" s="1969">
        <f t="shared" ref="AA34:AA67" si="54" xml:space="preserve"> AA33 + 0.005</f>
        <v>5.0000000000000001E-3</v>
      </c>
      <c r="AB34" s="1970"/>
      <c r="AC34" s="1971"/>
      <c r="AD34" s="1965">
        <f t="shared" si="53"/>
        <v>2.9074190231479016E-2</v>
      </c>
      <c r="AE34" s="1966"/>
      <c r="AF34" s="1967"/>
      <c r="AG34" s="755"/>
      <c r="AH34" s="755"/>
      <c r="AI34" s="755"/>
      <c r="AJ34" s="755"/>
      <c r="AK34" s="755"/>
      <c r="AL34" s="755"/>
      <c r="AM34" s="755"/>
      <c r="AN34" s="755"/>
      <c r="AO34" s="790"/>
      <c r="AP34" s="785"/>
      <c r="AQ34" s="786"/>
      <c r="AR34" s="786"/>
      <c r="AS34" s="786"/>
      <c r="AT34" s="786"/>
      <c r="AU34" s="786"/>
      <c r="AV34" s="913"/>
      <c r="AW34" s="732"/>
      <c r="AY34" s="1397"/>
      <c r="AZ34" s="1398"/>
      <c r="BA34" s="1295" t="s">
        <v>902</v>
      </c>
      <c r="BB34" s="1425">
        <v>15</v>
      </c>
      <c r="BC34" s="1426">
        <v>10</v>
      </c>
      <c r="BD34" s="1426">
        <v>20</v>
      </c>
      <c r="BE34" s="1426">
        <v>20</v>
      </c>
      <c r="BF34" s="1426">
        <v>15</v>
      </c>
      <c r="BG34" s="1426">
        <v>30</v>
      </c>
      <c r="BH34" s="1426">
        <v>30</v>
      </c>
      <c r="BI34" s="1427">
        <v>25</v>
      </c>
      <c r="BK34" s="1613">
        <f>BK35+1</f>
        <v>36</v>
      </c>
      <c r="BL34" s="1614">
        <v>3</v>
      </c>
      <c r="BM34" s="1615">
        <f t="shared" si="34"/>
        <v>61</v>
      </c>
      <c r="BN34" s="1620">
        <f t="shared" si="35"/>
        <v>1369</v>
      </c>
      <c r="BO34" s="1616">
        <f>IF(BM34="XX", "XX", BN34*0.3048)</f>
        <v>417.27120000000002</v>
      </c>
      <c r="BP34" s="1146">
        <f t="shared" si="49"/>
        <v>1</v>
      </c>
      <c r="BS34" s="1595">
        <f t="shared" si="38"/>
        <v>36</v>
      </c>
      <c r="BT34" s="1596">
        <f t="shared" si="39"/>
        <v>3</v>
      </c>
      <c r="BU34" s="1597">
        <f t="shared" si="40"/>
        <v>61</v>
      </c>
      <c r="BV34" s="1598">
        <f t="shared" si="41"/>
        <v>1369</v>
      </c>
      <c r="BW34" s="1599">
        <f t="shared" si="42"/>
        <v>417.27120000000002</v>
      </c>
      <c r="BX34" s="1584"/>
      <c r="BY34" s="1601">
        <f>'SMMR-Calcs'!H39</f>
        <v>28.548075123558192</v>
      </c>
      <c r="BZ34" s="1602">
        <f>'SMMR-Calcs'!K39</f>
        <v>11.638655462184875</v>
      </c>
      <c r="CA34" s="1602">
        <f>'SMMR-Calcs'!L39</f>
        <v>91.906360000000006</v>
      </c>
      <c r="CB34" s="1603">
        <f>'SMMR-Calcs'!M39</f>
        <v>72.966539999999995</v>
      </c>
      <c r="CC34" s="1604">
        <f>'SMMR-Calcs'!S39</f>
        <v>37.466425829511493</v>
      </c>
      <c r="CD34" s="1605">
        <f>'SMMR-Calcs'!R39</f>
        <v>6.7103688504836251E-2</v>
      </c>
      <c r="CE34" s="1606">
        <f>'SMMR-Calcs'!AS39</f>
        <v>-371.14013261400726</v>
      </c>
      <c r="CF34" s="1607">
        <f>'SMMR-Calcs'!AT39</f>
        <v>-7.8036310992364577E-2</v>
      </c>
      <c r="CG34" s="1608">
        <f>'SMMR-Calcs'!AV39</f>
        <v>-1202.4940296693835</v>
      </c>
      <c r="CH34" s="1584"/>
      <c r="CI34" s="1737">
        <f>$BM$46</f>
        <v>47</v>
      </c>
      <c r="CJ34" s="1585"/>
      <c r="CK34" s="1585"/>
      <c r="CL34" s="1585"/>
      <c r="CM34" s="1585"/>
      <c r="CN34" s="1585"/>
      <c r="CO34" s="1585"/>
      <c r="CP34" s="1585"/>
      <c r="CQ34" s="1737">
        <f>$BM$46</f>
        <v>47</v>
      </c>
      <c r="CR34" s="1538"/>
      <c r="CS34" s="1538"/>
      <c r="CT34" s="1610">
        <f t="shared" si="43"/>
        <v>36</v>
      </c>
      <c r="CU34" s="1611">
        <f t="shared" si="44"/>
        <v>3</v>
      </c>
      <c r="CV34" s="1612">
        <f t="shared" si="45"/>
        <v>61</v>
      </c>
      <c r="CW34" s="19">
        <f t="shared" si="46"/>
        <v>1369</v>
      </c>
      <c r="CX34" s="1100">
        <f t="shared" si="47"/>
        <v>417.27120000000002</v>
      </c>
      <c r="CY34" s="1584"/>
      <c r="CZ34" s="1601">
        <f>'WNTR-Calcs'!H39</f>
        <v>28.548075123558192</v>
      </c>
      <c r="DA34" s="1602">
        <f>'WNTR-Calcs'!K39</f>
        <v>19.957983193277311</v>
      </c>
      <c r="DB34" s="1602">
        <f>'WNTR-Calcs'!L39</f>
        <v>-23.093640000000001</v>
      </c>
      <c r="DC34" s="1603">
        <f>'WNTR-Calcs'!M39</f>
        <v>-22.033460000000002</v>
      </c>
      <c r="DD34" s="1604">
        <f>'WNTR-Calcs'!S39</f>
        <v>-4.954079831693786</v>
      </c>
      <c r="DE34" s="1605">
        <f>'WNTR-Calcs'!R39</f>
        <v>8.6606768152639887E-2</v>
      </c>
      <c r="DF34" s="1606">
        <f>'WNTR-Calcs'!AS39</f>
        <v>-2114.5599303372214</v>
      </c>
      <c r="DG34" s="1607">
        <f>'WNTR-Calcs'!AT39</f>
        <v>-0.44460957421547365</v>
      </c>
      <c r="DH34" s="1608">
        <f>'WNTR-Calcs'!AV39</f>
        <v>-6851.1741742925979</v>
      </c>
      <c r="DI34" s="1584"/>
      <c r="DJ34" s="1737">
        <f>$BM$46</f>
        <v>47</v>
      </c>
      <c r="DK34" s="1585"/>
      <c r="DL34" s="1585"/>
      <c r="DM34" s="1585"/>
      <c r="DN34" s="1585"/>
      <c r="DO34" s="1585"/>
      <c r="DP34" s="1585"/>
      <c r="DQ34" s="1585"/>
      <c r="DR34" s="1737">
        <f>$BM$46</f>
        <v>47</v>
      </c>
      <c r="DS34" s="1520"/>
    </row>
    <row r="35" spans="2:123" ht="18" customHeight="1" thickBot="1">
      <c r="B35" s="1264" t="s">
        <v>771</v>
      </c>
      <c r="C35" s="755"/>
      <c r="D35" s="755"/>
      <c r="E35" s="790"/>
      <c r="F35" s="1270"/>
      <c r="G35" s="1290" t="s">
        <v>788</v>
      </c>
      <c r="H35" s="755"/>
      <c r="I35" s="755"/>
      <c r="J35" s="755"/>
      <c r="K35" s="755"/>
      <c r="L35" s="755"/>
      <c r="M35" s="755"/>
      <c r="N35" s="755"/>
      <c r="O35" s="790"/>
      <c r="P35" s="2022">
        <v>4.3</v>
      </c>
      <c r="Q35" s="2005"/>
      <c r="R35" s="2004">
        <v>8.6999999999999993</v>
      </c>
      <c r="S35" s="2005"/>
      <c r="T35" s="1962">
        <f>P35*$B$28</f>
        <v>4.3000000000000004E-4</v>
      </c>
      <c r="U35" s="1963"/>
      <c r="V35" s="1986"/>
      <c r="W35" s="1962">
        <f>R35*$B$28</f>
        <v>8.7000000000000011E-4</v>
      </c>
      <c r="X35" s="1963"/>
      <c r="Y35" s="1964"/>
      <c r="Z35" s="788"/>
      <c r="AA35" s="1969">
        <f t="shared" si="54"/>
        <v>0.01</v>
      </c>
      <c r="AB35" s="1970"/>
      <c r="AC35" s="1971"/>
      <c r="AD35" s="1965">
        <f t="shared" si="53"/>
        <v>5.8148380462958033E-2</v>
      </c>
      <c r="AE35" s="1966"/>
      <c r="AF35" s="1967"/>
      <c r="AG35" s="755"/>
      <c r="AH35" s="755"/>
      <c r="AI35" s="755"/>
      <c r="AJ35" s="755"/>
      <c r="AK35" s="755"/>
      <c r="AL35" s="754"/>
      <c r="AM35" s="754"/>
      <c r="AN35" s="883"/>
      <c r="AO35" s="1226"/>
      <c r="AP35" s="914"/>
      <c r="AQ35" s="915"/>
      <c r="AR35" s="915"/>
      <c r="AS35" s="915"/>
      <c r="AT35" s="915"/>
      <c r="AU35" s="915"/>
      <c r="AV35" s="916"/>
      <c r="AW35" s="1000"/>
      <c r="AY35" s="1378"/>
      <c r="AZ35" s="1379"/>
      <c r="BA35" s="1380" t="s">
        <v>721</v>
      </c>
      <c r="BB35" s="1428">
        <v>1.5</v>
      </c>
      <c r="BC35" s="1429">
        <v>1.5</v>
      </c>
      <c r="BD35" s="1429">
        <v>1.5</v>
      </c>
      <c r="BE35" s="1429">
        <v>1.5</v>
      </c>
      <c r="BF35" s="1429">
        <v>1.5</v>
      </c>
      <c r="BG35" s="1429">
        <v>1.5</v>
      </c>
      <c r="BH35" s="1429">
        <v>1.5</v>
      </c>
      <c r="BI35" s="1430">
        <v>1.5</v>
      </c>
      <c r="BK35" s="1617">
        <f>BK37+1</f>
        <v>35</v>
      </c>
      <c r="BL35" s="1618">
        <v>1</v>
      </c>
      <c r="BM35" s="1619">
        <f t="shared" si="34"/>
        <v>59</v>
      </c>
      <c r="BN35" s="1620">
        <f t="shared" si="35"/>
        <v>1349</v>
      </c>
      <c r="BO35" s="1621">
        <f>IF(BM35="XX", "XX", BN35*0.3048)</f>
        <v>411.17520000000002</v>
      </c>
      <c r="BP35" s="1147">
        <f t="shared" si="49"/>
        <v>1</v>
      </c>
      <c r="BS35" s="1595">
        <f t="shared" si="38"/>
        <v>35</v>
      </c>
      <c r="BT35" s="1596">
        <f t="shared" si="39"/>
        <v>1</v>
      </c>
      <c r="BU35" s="1597">
        <f t="shared" si="40"/>
        <v>59</v>
      </c>
      <c r="BV35" s="1598">
        <f t="shared" si="41"/>
        <v>1349</v>
      </c>
      <c r="BW35" s="1599">
        <f t="shared" si="42"/>
        <v>411.17520000000002</v>
      </c>
      <c r="BY35" s="1623">
        <f>'SMMR-Calcs'!H40</f>
        <v>28.568908811722643</v>
      </c>
      <c r="BZ35" s="1624">
        <f>'SMMR-Calcs'!K40</f>
        <v>11.485867074102369</v>
      </c>
      <c r="CA35" s="1624">
        <f>'SMMR-Calcs'!L40</f>
        <v>91.977559999999997</v>
      </c>
      <c r="CB35" s="1625">
        <f>'SMMR-Calcs'!M40</f>
        <v>73.013339999999999</v>
      </c>
      <c r="CC35" s="1626">
        <f>'SMMR-Calcs'!S40</f>
        <v>37.495156548155705</v>
      </c>
      <c r="CD35" s="1627">
        <f>'SMMR-Calcs'!R40</f>
        <v>6.7142919110384253E-2</v>
      </c>
      <c r="CE35" s="1606">
        <f>'SMMR-Calcs'!AS40</f>
        <v>-440.59773010190713</v>
      </c>
      <c r="CF35" s="1607">
        <f>'SMMR-Calcs'!AT40</f>
        <v>-9.2640537811417206E-2</v>
      </c>
      <c r="CG35" s="1649">
        <f>'SMMR-Calcs'!AV40</f>
        <v>-1427.5366455301794</v>
      </c>
      <c r="CI35" s="1737">
        <f>$BM$45</f>
        <v>51</v>
      </c>
      <c r="CQ35" s="1737">
        <f>$BM$45</f>
        <v>51</v>
      </c>
      <c r="CT35" s="1610">
        <f t="shared" si="43"/>
        <v>35</v>
      </c>
      <c r="CU35" s="1611">
        <f t="shared" si="44"/>
        <v>1</v>
      </c>
      <c r="CV35" s="1612">
        <f t="shared" si="45"/>
        <v>59</v>
      </c>
      <c r="CW35" s="19">
        <f t="shared" si="46"/>
        <v>1349</v>
      </c>
      <c r="CX35" s="1100">
        <f t="shared" si="47"/>
        <v>411.17520000000002</v>
      </c>
      <c r="CY35" s="1648"/>
      <c r="CZ35" s="1623">
        <f>'WNTR-Calcs'!H40</f>
        <v>28.568908811722643</v>
      </c>
      <c r="DA35" s="1624">
        <f>'WNTR-Calcs'!K40</f>
        <v>19.728800611153552</v>
      </c>
      <c r="DB35" s="1624">
        <f>'WNTR-Calcs'!L40</f>
        <v>-23.02244</v>
      </c>
      <c r="DC35" s="1625">
        <f>'WNTR-Calcs'!M40</f>
        <v>-21.986660000000001</v>
      </c>
      <c r="DD35" s="1626">
        <f>'WNTR-Calcs'!S40</f>
        <v>-4.9419481755498333</v>
      </c>
      <c r="DE35" s="1631">
        <f>'WNTR-Calcs'!R40</f>
        <v>8.6656499106147977E-2</v>
      </c>
      <c r="DF35" s="1628">
        <f>'WNTR-Calcs'!AS40</f>
        <v>-2028.4460423562882</v>
      </c>
      <c r="DG35" s="1629">
        <f>'WNTR-Calcs'!AT40</f>
        <v>-0.42650317840235719</v>
      </c>
      <c r="DH35" s="1630">
        <f>'WNTR-Calcs'!AV40</f>
        <v>-6572.1651772343739</v>
      </c>
      <c r="DI35" s="1647"/>
      <c r="DJ35" s="1737">
        <f>$BM$45</f>
        <v>51</v>
      </c>
      <c r="DK35" s="737"/>
      <c r="DL35" s="737"/>
      <c r="DR35" s="1737">
        <f>$BM$45</f>
        <v>51</v>
      </c>
      <c r="DS35" s="1520"/>
    </row>
    <row r="36" spans="2:123" ht="18" customHeight="1" thickBot="1">
      <c r="B36" s="1264" t="s">
        <v>772</v>
      </c>
      <c r="C36" s="755"/>
      <c r="D36" s="755"/>
      <c r="E36" s="790"/>
      <c r="F36" s="1270"/>
      <c r="G36" s="1290" t="s">
        <v>789</v>
      </c>
      <c r="H36" s="755"/>
      <c r="I36" s="755"/>
      <c r="J36" s="755"/>
      <c r="K36" s="755"/>
      <c r="L36" s="755"/>
      <c r="M36" s="755"/>
      <c r="N36" s="755"/>
      <c r="O36" s="790"/>
      <c r="P36" s="2022">
        <v>4.5999999999999996</v>
      </c>
      <c r="Q36" s="2005"/>
      <c r="R36" s="2004">
        <v>8</v>
      </c>
      <c r="S36" s="2005"/>
      <c r="T36" s="1962">
        <f t="shared" ref="T36:T52" si="55">P36*$B$28</f>
        <v>4.6000000000000007E-4</v>
      </c>
      <c r="U36" s="1963"/>
      <c r="V36" s="1986"/>
      <c r="W36" s="1962">
        <f t="shared" ref="W36:W52" si="56">R36*$B$28</f>
        <v>8.0000000000000015E-4</v>
      </c>
      <c r="X36" s="1963"/>
      <c r="Y36" s="1964"/>
      <c r="Z36" s="788"/>
      <c r="AA36" s="1969">
        <f t="shared" si="54"/>
        <v>1.4999999999999999E-2</v>
      </c>
      <c r="AB36" s="1970"/>
      <c r="AC36" s="1971"/>
      <c r="AD36" s="1965">
        <f t="shared" si="53"/>
        <v>8.7222570694437049E-2</v>
      </c>
      <c r="AE36" s="1966"/>
      <c r="AF36" s="1967"/>
      <c r="AG36" s="755"/>
      <c r="AH36" s="755"/>
      <c r="AI36" s="1220"/>
      <c r="AJ36" s="755"/>
      <c r="AK36" s="932"/>
      <c r="AM36" s="1922" t="s">
        <v>965</v>
      </c>
      <c r="AN36" s="855"/>
      <c r="AO36" s="1227"/>
      <c r="AP36" s="740" t="s">
        <v>725</v>
      </c>
      <c r="AQ36" s="856"/>
      <c r="AR36" s="856"/>
      <c r="AS36" s="856"/>
      <c r="AT36" s="856"/>
      <c r="AU36" s="856"/>
      <c r="AV36" s="1225"/>
      <c r="AW36" s="1001"/>
      <c r="AY36" s="1431"/>
      <c r="AZ36" s="1432"/>
      <c r="BA36" s="1433" t="s">
        <v>895</v>
      </c>
      <c r="BB36" s="1417">
        <f xml:space="preserve"> BB16*BB17 * $BE$10/100 *2</f>
        <v>15360</v>
      </c>
      <c r="BC36" s="1417">
        <f t="shared" ref="BC36:BI36" si="57" xml:space="preserve"> BC16*BC17 * $BE$10/100 *2</f>
        <v>11200</v>
      </c>
      <c r="BD36" s="1417"/>
      <c r="BE36" s="1417"/>
      <c r="BF36" s="1417"/>
      <c r="BG36" s="1417">
        <f t="shared" si="57"/>
        <v>3600</v>
      </c>
      <c r="BH36" s="1417">
        <f t="shared" si="57"/>
        <v>3600</v>
      </c>
      <c r="BI36" s="1417">
        <f t="shared" si="57"/>
        <v>3600</v>
      </c>
      <c r="BK36" s="1632" t="s">
        <v>127</v>
      </c>
      <c r="BL36" s="1633"/>
      <c r="BM36" s="1634" t="str">
        <f>BF14</f>
        <v>5-Srv</v>
      </c>
      <c r="BN36" s="1635" t="s">
        <v>128</v>
      </c>
      <c r="BO36" s="1636">
        <f>BF42</f>
        <v>5</v>
      </c>
      <c r="BP36" s="1574">
        <f>SUM(BP37:BP42)</f>
        <v>5</v>
      </c>
      <c r="BQ36" s="1533"/>
      <c r="BR36" s="1533"/>
      <c r="BS36" s="1632" t="str">
        <f>BK36</f>
        <v>Section &gt;&gt;</v>
      </c>
      <c r="BT36" s="1633"/>
      <c r="BU36" s="1634" t="str">
        <f>BM36</f>
        <v>5-Srv</v>
      </c>
      <c r="BV36" s="1635" t="str">
        <f>BN36</f>
        <v># flrs &gt;&gt;</v>
      </c>
      <c r="BW36" s="1636">
        <f>BO36</f>
        <v>5</v>
      </c>
      <c r="BX36" s="1575"/>
      <c r="BY36" s="1576" t="s">
        <v>14</v>
      </c>
      <c r="BZ36" s="1577" t="s">
        <v>116</v>
      </c>
      <c r="CA36" s="1577" t="s">
        <v>36</v>
      </c>
      <c r="CB36" s="1578" t="s">
        <v>37</v>
      </c>
      <c r="CC36" s="1579" t="s">
        <v>915</v>
      </c>
      <c r="CD36" s="1580" t="s">
        <v>914</v>
      </c>
      <c r="CE36" s="1581" t="s">
        <v>115</v>
      </c>
      <c r="CF36" s="1582" t="s">
        <v>931</v>
      </c>
      <c r="CG36" s="1583" t="s">
        <v>151</v>
      </c>
      <c r="CH36" s="1584"/>
      <c r="CI36" s="1737">
        <f>$BM$44</f>
        <v>53</v>
      </c>
      <c r="CJ36" s="1609"/>
      <c r="CK36" s="1609"/>
      <c r="CL36" s="1609"/>
      <c r="CM36" s="1609"/>
      <c r="CN36" s="1609"/>
      <c r="CO36" s="1609"/>
      <c r="CP36" s="1609"/>
      <c r="CQ36" s="1737">
        <f>$BM$44</f>
        <v>53</v>
      </c>
      <c r="CR36" s="1538"/>
      <c r="CS36" s="1538"/>
      <c r="CT36" s="1637" t="str">
        <f>BK36</f>
        <v>Section &gt;&gt;</v>
      </c>
      <c r="CU36" s="1638"/>
      <c r="CV36" s="1634" t="str">
        <f>BM36</f>
        <v>5-Srv</v>
      </c>
      <c r="CW36" s="1639" t="str">
        <f>BN36</f>
        <v># flrs &gt;&gt;</v>
      </c>
      <c r="CX36" s="1640">
        <f>BO36</f>
        <v>5</v>
      </c>
      <c r="CY36" s="1575"/>
      <c r="CZ36" s="1576" t="s">
        <v>14</v>
      </c>
      <c r="DA36" s="1577" t="s">
        <v>116</v>
      </c>
      <c r="DB36" s="1577" t="s">
        <v>36</v>
      </c>
      <c r="DC36" s="1578" t="s">
        <v>37</v>
      </c>
      <c r="DD36" s="1579" t="s">
        <v>915</v>
      </c>
      <c r="DE36" s="1580" t="s">
        <v>914</v>
      </c>
      <c r="DF36" s="1641" t="s">
        <v>115</v>
      </c>
      <c r="DG36" s="1642" t="s">
        <v>931</v>
      </c>
      <c r="DH36" s="1643" t="s">
        <v>151</v>
      </c>
      <c r="DI36" s="1584"/>
      <c r="DJ36" s="1737">
        <f>$BM$44</f>
        <v>53</v>
      </c>
      <c r="DK36" s="1609"/>
      <c r="DL36" s="1609"/>
      <c r="DM36" s="1609"/>
      <c r="DN36" s="1609"/>
      <c r="DO36" s="1609"/>
      <c r="DP36" s="1609"/>
      <c r="DQ36" s="1609"/>
      <c r="DR36" s="1737">
        <f>$BM$44</f>
        <v>53</v>
      </c>
      <c r="DS36" s="1520"/>
    </row>
    <row r="37" spans="2:123" ht="18" customHeight="1">
      <c r="B37" s="1953" t="s">
        <v>773</v>
      </c>
      <c r="C37" s="755"/>
      <c r="D37" s="755"/>
      <c r="E37" s="790"/>
      <c r="F37" s="1270"/>
      <c r="G37" s="1954" t="s">
        <v>790</v>
      </c>
      <c r="H37" s="755"/>
      <c r="I37" s="755"/>
      <c r="J37" s="755"/>
      <c r="K37" s="755"/>
      <c r="L37" s="755"/>
      <c r="M37" s="755"/>
      <c r="N37" s="755"/>
      <c r="O37" s="790"/>
      <c r="P37" s="2030">
        <v>2.7</v>
      </c>
      <c r="Q37" s="2021"/>
      <c r="R37" s="2020">
        <v>6.9</v>
      </c>
      <c r="S37" s="2021"/>
      <c r="T37" s="1987">
        <f t="shared" si="55"/>
        <v>2.7000000000000006E-4</v>
      </c>
      <c r="U37" s="1988"/>
      <c r="V37" s="1993"/>
      <c r="W37" s="1987">
        <f t="shared" si="56"/>
        <v>6.9000000000000018E-4</v>
      </c>
      <c r="X37" s="1988"/>
      <c r="Y37" s="1989"/>
      <c r="Z37" s="788"/>
      <c r="AA37" s="1969">
        <f t="shared" si="54"/>
        <v>0.02</v>
      </c>
      <c r="AB37" s="1970"/>
      <c r="AC37" s="1971"/>
      <c r="AD37" s="1965">
        <f t="shared" si="53"/>
        <v>0.11629676092591607</v>
      </c>
      <c r="AE37" s="1966"/>
      <c r="AF37" s="1967"/>
      <c r="AG37" s="826"/>
      <c r="AH37" s="826"/>
      <c r="AI37" s="826"/>
      <c r="AJ37" s="826"/>
      <c r="AK37" s="857"/>
      <c r="AL37" s="857"/>
      <c r="AM37" s="827"/>
      <c r="AN37" s="891"/>
      <c r="AO37" s="1231"/>
      <c r="AP37" s="893"/>
      <c r="AQ37" s="893"/>
      <c r="AR37" s="893"/>
      <c r="AS37" s="893"/>
      <c r="AT37" s="893"/>
      <c r="AU37" s="893"/>
      <c r="AV37" s="1228"/>
      <c r="AW37" s="996"/>
      <c r="AY37" s="1434"/>
      <c r="AZ37" s="1435"/>
      <c r="BA37" s="1436" t="s">
        <v>903</v>
      </c>
      <c r="BB37" s="1437">
        <v>2.1</v>
      </c>
      <c r="BC37" s="1438">
        <v>2.1</v>
      </c>
      <c r="BD37" s="1438">
        <v>2.1</v>
      </c>
      <c r="BE37" s="1438">
        <v>2.1</v>
      </c>
      <c r="BF37" s="1438">
        <v>2.1</v>
      </c>
      <c r="BG37" s="1438">
        <v>2.1</v>
      </c>
      <c r="BH37" s="1438">
        <v>2.1</v>
      </c>
      <c r="BI37" s="1407">
        <v>2.1</v>
      </c>
      <c r="BK37" s="1591">
        <f>BK38+1</f>
        <v>34</v>
      </c>
      <c r="BL37" s="1592">
        <v>0</v>
      </c>
      <c r="BM37" s="1593" t="str">
        <f xml:space="preserve"> IF(BL37&lt;=0, "XX", BB$42 + BC$42 + BD$42 + BE$42 + BF$42 +BL37)</f>
        <v>XX</v>
      </c>
      <c r="BN37" s="1006" t="str">
        <f>IF(BM37="XX", "XX", $BB$9 + BB$44 + BC$44 + BD$44 +BE$44 + BF$44 + BL37*BG$20)</f>
        <v>XX</v>
      </c>
      <c r="BO37" s="1594" t="str">
        <f t="shared" ref="BO37" si="58">IF(BM37="XX", "XX", BN37*0.3048)</f>
        <v>XX</v>
      </c>
      <c r="BP37" s="1146">
        <f t="shared" ref="BP37:BP42" si="59">IF( (BL37&gt;0),1, 0)</f>
        <v>0</v>
      </c>
      <c r="BQ37" s="1533"/>
      <c r="BR37" s="1533"/>
      <c r="BS37" s="1595">
        <f t="shared" ref="BS37:BS42" si="60">BK37</f>
        <v>34</v>
      </c>
      <c r="BT37" s="1596">
        <f t="shared" ref="BT37:BT42" si="61">BL37</f>
        <v>0</v>
      </c>
      <c r="BU37" s="1597" t="str">
        <f t="shared" ref="BU37:BU42" si="62">BM37</f>
        <v>XX</v>
      </c>
      <c r="BV37" s="1598" t="str">
        <f t="shared" ref="BV37:BV42" si="63">BN37</f>
        <v>XX</v>
      </c>
      <c r="BW37" s="1599" t="str">
        <f t="shared" ref="BW37:BW42" si="64">IF(BU37="XX", "XX", BV37*0.3048)</f>
        <v>XX</v>
      </c>
      <c r="BX37" s="1600"/>
      <c r="BY37" s="1601" t="str">
        <f>'SMMR-Calcs'!H42</f>
        <v>XX</v>
      </c>
      <c r="BZ37" s="1602" t="str">
        <f>'SMMR-Calcs'!K42</f>
        <v>XX</v>
      </c>
      <c r="CA37" s="1602" t="str">
        <f>'SMMR-Calcs'!L42</f>
        <v>XX</v>
      </c>
      <c r="CB37" s="1603" t="str">
        <f>'SMMR-Calcs'!M42</f>
        <v xml:space="preserve">XX </v>
      </c>
      <c r="CC37" s="1604" t="str">
        <f>'SMMR-Calcs'!S42</f>
        <v>XX</v>
      </c>
      <c r="CD37" s="1605" t="str">
        <f>'SMMR-Calcs'!R42</f>
        <v>XX</v>
      </c>
      <c r="CE37" s="1650">
        <f>'SMMR-Calcs'!AS42</f>
        <v>0</v>
      </c>
      <c r="CF37" s="1651" t="str">
        <f>'SMMR-Calcs'!AT42</f>
        <v>XX</v>
      </c>
      <c r="CG37" s="1608">
        <f>'SMMR-Calcs'!AV42</f>
        <v>0</v>
      </c>
      <c r="CH37" s="1584"/>
      <c r="CI37" s="1525" t="str">
        <f>$BM$43</f>
        <v>4-Ofc</v>
      </c>
      <c r="CJ37" s="1609"/>
      <c r="CK37" s="1609"/>
      <c r="CL37" s="1609"/>
      <c r="CM37" s="1609"/>
      <c r="CN37" s="1609"/>
      <c r="CO37" s="1609"/>
      <c r="CP37" s="1609"/>
      <c r="CQ37" s="1525" t="str">
        <f>$BM$43</f>
        <v>4-Ofc</v>
      </c>
      <c r="CR37" s="1538"/>
      <c r="CS37" s="1538"/>
      <c r="CT37" s="1610">
        <f t="shared" ref="CT37:CT42" si="65">BK37</f>
        <v>34</v>
      </c>
      <c r="CU37" s="1611">
        <f t="shared" ref="CU37:CU42" si="66">BL37</f>
        <v>0</v>
      </c>
      <c r="CV37" s="1612" t="str">
        <f t="shared" ref="CV37:CV42" si="67">BM37</f>
        <v>XX</v>
      </c>
      <c r="CW37" s="19" t="str">
        <f t="shared" ref="CW37:CW42" si="68">BN37</f>
        <v>XX</v>
      </c>
      <c r="CX37" s="1100" t="str">
        <f t="shared" ref="CX37:CX42" si="69">BO37</f>
        <v>XX</v>
      </c>
      <c r="CY37" s="1584"/>
      <c r="CZ37" s="1601" t="str">
        <f>'WNTR-Calcs'!H42</f>
        <v>XX</v>
      </c>
      <c r="DA37" s="1602" t="str">
        <f>'WNTR-Calcs'!K42</f>
        <v>XX</v>
      </c>
      <c r="DB37" s="1602" t="str">
        <f>'WNTR-Calcs'!L42</f>
        <v>XX</v>
      </c>
      <c r="DC37" s="1603" t="str">
        <f>'WNTR-Calcs'!M42</f>
        <v xml:space="preserve">XX </v>
      </c>
      <c r="DD37" s="1604" t="str">
        <f>'WNTR-Calcs'!S42</f>
        <v>XX</v>
      </c>
      <c r="DE37" s="1605" t="str">
        <f>'WNTR-Calcs'!R42</f>
        <v>XX</v>
      </c>
      <c r="DF37" s="1606">
        <f>'WNTR-Calcs'!AS42</f>
        <v>0</v>
      </c>
      <c r="DG37" s="1607" t="str">
        <f>'WNTR-Calcs'!AT42</f>
        <v>XX</v>
      </c>
      <c r="DH37" s="1608">
        <f>'WNTR-Calcs'!AV42</f>
        <v>0</v>
      </c>
      <c r="DI37" s="1584"/>
      <c r="DJ37" s="1525" t="str">
        <f>$BM$43</f>
        <v>4-Ofc</v>
      </c>
      <c r="DK37" s="1609"/>
      <c r="DL37" s="1609"/>
      <c r="DM37" s="1609"/>
      <c r="DN37" s="1609"/>
      <c r="DO37" s="1609"/>
      <c r="DP37" s="1609"/>
      <c r="DQ37" s="1609"/>
      <c r="DR37" s="1525" t="str">
        <f>$BM$43</f>
        <v>4-Ofc</v>
      </c>
      <c r="DS37" s="1521"/>
    </row>
    <row r="38" spans="2:123" ht="18" customHeight="1">
      <c r="B38" s="1948" t="s">
        <v>774</v>
      </c>
      <c r="C38" s="1232"/>
      <c r="D38" s="1232"/>
      <c r="E38" s="1949"/>
      <c r="F38" s="1950"/>
      <c r="G38" s="1951" t="s">
        <v>791</v>
      </c>
      <c r="H38" s="1232"/>
      <c r="I38" s="1232"/>
      <c r="J38" s="1232"/>
      <c r="K38" s="1232"/>
      <c r="L38" s="1232"/>
      <c r="M38" s="1232"/>
      <c r="N38" s="1232"/>
      <c r="O38" s="1949"/>
      <c r="P38" s="2023">
        <v>4.0999999999999996</v>
      </c>
      <c r="Q38" s="2009"/>
      <c r="R38" s="2008">
        <v>19.899999999999999</v>
      </c>
      <c r="S38" s="2009"/>
      <c r="T38" s="1990">
        <f t="shared" si="55"/>
        <v>4.1000000000000005E-4</v>
      </c>
      <c r="U38" s="1991"/>
      <c r="V38" s="1994"/>
      <c r="W38" s="1990">
        <f t="shared" si="56"/>
        <v>1.99E-3</v>
      </c>
      <c r="X38" s="1991"/>
      <c r="Y38" s="1992"/>
      <c r="Z38" s="788"/>
      <c r="AA38" s="1969">
        <f t="shared" si="54"/>
        <v>2.5000000000000001E-2</v>
      </c>
      <c r="AB38" s="1970"/>
      <c r="AC38" s="1971"/>
      <c r="AD38" s="1965">
        <f t="shared" si="53"/>
        <v>0.1453709511573951</v>
      </c>
      <c r="AE38" s="1966"/>
      <c r="AF38" s="1967"/>
      <c r="AG38" s="826"/>
      <c r="AH38" s="858"/>
      <c r="AI38" s="858"/>
      <c r="AJ38" s="858"/>
      <c r="AK38" s="858"/>
      <c r="AL38" s="858"/>
      <c r="AM38" s="826"/>
      <c r="AN38" s="859"/>
      <c r="AO38" s="1232"/>
      <c r="AP38" s="860"/>
      <c r="AQ38" s="860"/>
      <c r="AR38" s="860"/>
      <c r="AS38" s="860"/>
      <c r="AT38" s="860"/>
      <c r="AU38" s="860"/>
      <c r="AV38" s="861"/>
      <c r="AW38" s="996"/>
      <c r="AY38" s="1439"/>
      <c r="AZ38" s="1440"/>
      <c r="BA38" s="1441" t="s">
        <v>866</v>
      </c>
      <c r="BB38" s="1442">
        <v>1.5</v>
      </c>
      <c r="BC38" s="1443">
        <v>1.5</v>
      </c>
      <c r="BD38" s="1443">
        <v>1.5</v>
      </c>
      <c r="BE38" s="1443">
        <v>1.5</v>
      </c>
      <c r="BF38" s="1443">
        <v>1.5</v>
      </c>
      <c r="BG38" s="1443">
        <v>1.5</v>
      </c>
      <c r="BH38" s="1443">
        <v>1.5</v>
      </c>
      <c r="BI38" s="1427">
        <v>1.5</v>
      </c>
      <c r="BK38" s="1613">
        <f t="shared" ref="BK38:BK39" si="70">BK39+1</f>
        <v>33</v>
      </c>
      <c r="BL38" s="1614">
        <v>5</v>
      </c>
      <c r="BM38" s="1615">
        <f xml:space="preserve"> IF(BL38&lt;=0, "XX", BB$42 + BC$42 + BD$42 + BE$42+BL38)</f>
        <v>58</v>
      </c>
      <c r="BN38" s="12">
        <f>IF(BM38="XX", "XX", $BB$9 + BB$44 + BC$44 + BD$44 +BE$44 + BL38*BF$20)</f>
        <v>1339</v>
      </c>
      <c r="BO38" s="1616">
        <f t="shared" ref="BO38:BO39" si="71">IF(BM38="XX", "XX", BN38*0.3048)</f>
        <v>408.12720000000002</v>
      </c>
      <c r="BP38" s="1146">
        <f t="shared" si="59"/>
        <v>1</v>
      </c>
      <c r="BQ38" s="1533"/>
      <c r="BR38" s="1533"/>
      <c r="BS38" s="1595">
        <f t="shared" si="60"/>
        <v>33</v>
      </c>
      <c r="BT38" s="1596">
        <f t="shared" si="61"/>
        <v>5</v>
      </c>
      <c r="BU38" s="1597">
        <f t="shared" si="62"/>
        <v>58</v>
      </c>
      <c r="BV38" s="1598">
        <f t="shared" si="63"/>
        <v>1339</v>
      </c>
      <c r="BW38" s="1599">
        <f t="shared" si="64"/>
        <v>408.12720000000002</v>
      </c>
      <c r="BX38" s="1584"/>
      <c r="BY38" s="1601">
        <f>'SMMR-Calcs'!H43</f>
        <v>28.57933027142759</v>
      </c>
      <c r="BZ38" s="1602">
        <f>'SMMR-Calcs'!K43</f>
        <v>11.409472880061116</v>
      </c>
      <c r="CA38" s="1602">
        <f>'SMMR-Calcs'!L43</f>
        <v>92.013159999999999</v>
      </c>
      <c r="CB38" s="1603">
        <f>'SMMR-Calcs'!M43</f>
        <v>73.036739999999995</v>
      </c>
      <c r="CC38" s="1604">
        <f>'SMMR-Calcs'!S43</f>
        <v>37.509526196660438</v>
      </c>
      <c r="CD38" s="1605">
        <f>'SMMR-Calcs'!R43</f>
        <v>6.7162540500864079E-2</v>
      </c>
      <c r="CE38" s="1606">
        <f>'SMMR-Calcs'!AS43</f>
        <v>-234.40075503721954</v>
      </c>
      <c r="CF38" s="1607">
        <f>'SMMR-Calcs'!AT43</f>
        <v>-2.4416745316377036E-2</v>
      </c>
      <c r="CG38" s="1608">
        <f>'SMMR-Calcs'!AV43</f>
        <v>-759.45844632059141</v>
      </c>
      <c r="CH38" s="1584"/>
      <c r="CI38" s="1737">
        <f>$BM$42</f>
        <v>54</v>
      </c>
      <c r="CJ38" s="1609"/>
      <c r="CK38" s="1609"/>
      <c r="CL38" s="1609"/>
      <c r="CM38" s="1609"/>
      <c r="CN38" s="1609"/>
      <c r="CO38" s="1609"/>
      <c r="CP38" s="1609"/>
      <c r="CQ38" s="1737">
        <f>$BM$42</f>
        <v>54</v>
      </c>
      <c r="CR38" s="1538"/>
      <c r="CS38" s="1538"/>
      <c r="CT38" s="1610">
        <f t="shared" si="65"/>
        <v>33</v>
      </c>
      <c r="CU38" s="1611">
        <f t="shared" si="66"/>
        <v>5</v>
      </c>
      <c r="CV38" s="1612">
        <f t="shared" si="67"/>
        <v>58</v>
      </c>
      <c r="CW38" s="19">
        <f t="shared" si="68"/>
        <v>1339</v>
      </c>
      <c r="CX38" s="1100">
        <f t="shared" si="69"/>
        <v>408.12720000000002</v>
      </c>
      <c r="CY38" s="1584"/>
      <c r="CZ38" s="1601">
        <f>'WNTR-Calcs'!H43</f>
        <v>28.57933027142759</v>
      </c>
      <c r="DA38" s="1602">
        <f>'WNTR-Calcs'!K43</f>
        <v>19.614209320091675</v>
      </c>
      <c r="DB38" s="1602">
        <f>'WNTR-Calcs'!L43</f>
        <v>-22.986840000000001</v>
      </c>
      <c r="DC38" s="1603">
        <f>'WNTR-Calcs'!M43</f>
        <v>-21.963259999999998</v>
      </c>
      <c r="DD38" s="1604">
        <f>'WNTR-Calcs'!S43</f>
        <v>-4.9358821991888133</v>
      </c>
      <c r="DE38" s="1605">
        <f>'WNTR-Calcs'!R43</f>
        <v>8.6681372830772888E-2</v>
      </c>
      <c r="DF38" s="1606">
        <f>'WNTR-Calcs'!AS43</f>
        <v>-507.33455773478067</v>
      </c>
      <c r="DG38" s="1607">
        <f>'WNTR-Calcs'!AT43</f>
        <v>-5.2847349764039653E-2</v>
      </c>
      <c r="DH38" s="1608">
        <f>'WNTR-Calcs'!AV43</f>
        <v>-1643.7639670606893</v>
      </c>
      <c r="DI38" s="1584"/>
      <c r="DJ38" s="1737">
        <f>$BM$42</f>
        <v>54</v>
      </c>
      <c r="DK38" s="1609"/>
      <c r="DL38" s="1609"/>
      <c r="DM38" s="1609"/>
      <c r="DN38" s="1609"/>
      <c r="DO38" s="1609"/>
      <c r="DP38" s="1609"/>
      <c r="DQ38" s="1609"/>
      <c r="DR38" s="1737">
        <f>$BM$42</f>
        <v>54</v>
      </c>
      <c r="DS38" s="1520"/>
    </row>
    <row r="39" spans="2:123" ht="18" customHeight="1" thickBot="1">
      <c r="B39" s="1264" t="s">
        <v>780</v>
      </c>
      <c r="C39" s="755"/>
      <c r="D39" s="755"/>
      <c r="E39" s="790"/>
      <c r="F39" s="1270"/>
      <c r="G39" s="1290" t="s">
        <v>792</v>
      </c>
      <c r="H39" s="755"/>
      <c r="I39" s="755"/>
      <c r="J39" s="755"/>
      <c r="K39" s="755"/>
      <c r="L39" s="755"/>
      <c r="M39" s="755"/>
      <c r="N39" s="755"/>
      <c r="O39" s="790"/>
      <c r="P39" s="2022">
        <v>3.1</v>
      </c>
      <c r="Q39" s="2005"/>
      <c r="R39" s="2004">
        <v>8.6</v>
      </c>
      <c r="S39" s="2005"/>
      <c r="T39" s="1962">
        <f t="shared" si="55"/>
        <v>3.1000000000000005E-4</v>
      </c>
      <c r="U39" s="1963"/>
      <c r="V39" s="1986"/>
      <c r="W39" s="1962">
        <f t="shared" si="56"/>
        <v>8.6000000000000009E-4</v>
      </c>
      <c r="X39" s="1963"/>
      <c r="Y39" s="1964"/>
      <c r="Z39" s="788"/>
      <c r="AA39" s="1969">
        <f t="shared" si="54"/>
        <v>3.0000000000000002E-2</v>
      </c>
      <c r="AB39" s="1970"/>
      <c r="AC39" s="1971"/>
      <c r="AD39" s="1965">
        <f t="shared" si="53"/>
        <v>0.1744451413888741</v>
      </c>
      <c r="AE39" s="1966"/>
      <c r="AF39" s="1967"/>
      <c r="AG39" s="841"/>
      <c r="AH39" s="862"/>
      <c r="AI39" s="862"/>
      <c r="AJ39" s="862"/>
      <c r="AK39" s="862"/>
      <c r="AL39" s="862"/>
      <c r="AM39" s="841"/>
      <c r="AN39" s="863"/>
      <c r="AO39" s="1232"/>
      <c r="AP39" s="864"/>
      <c r="AQ39" s="864"/>
      <c r="AR39" s="864"/>
      <c r="AS39" s="864"/>
      <c r="AT39" s="864"/>
      <c r="AU39" s="864"/>
      <c r="AV39" s="865"/>
      <c r="AW39" s="997"/>
      <c r="AY39" s="1444"/>
      <c r="AZ39" s="1445"/>
      <c r="BA39" s="1446" t="s">
        <v>865</v>
      </c>
      <c r="BB39" s="1447">
        <v>1.1000000000000001</v>
      </c>
      <c r="BC39" s="1448">
        <v>1.1000000000000001</v>
      </c>
      <c r="BD39" s="1448">
        <v>1.1000000000000001</v>
      </c>
      <c r="BE39" s="1448">
        <v>1.1000000000000001</v>
      </c>
      <c r="BF39" s="1448">
        <v>1.1000000000000001</v>
      </c>
      <c r="BG39" s="1448">
        <v>1.1000000000000001</v>
      </c>
      <c r="BH39" s="1448">
        <v>1.1000000000000001</v>
      </c>
      <c r="BI39" s="1449">
        <v>1.1000000000000001</v>
      </c>
      <c r="BK39" s="1613">
        <f t="shared" si="70"/>
        <v>32</v>
      </c>
      <c r="BL39" s="1614">
        <v>4</v>
      </c>
      <c r="BM39" s="1615">
        <f xml:space="preserve"> IF(BL39&lt;=0, "XX", BB$42 + BC$42 + BD$42 + BE$42+BL39)</f>
        <v>57</v>
      </c>
      <c r="BN39" s="12">
        <f>IF(BM39="XX", "XX", $BB$9 + BB$44 + BC$44 + BD$44 +BE$44 + BL39*BF$20)</f>
        <v>1324</v>
      </c>
      <c r="BO39" s="1616">
        <f t="shared" si="71"/>
        <v>403.55520000000001</v>
      </c>
      <c r="BP39" s="1146">
        <f t="shared" si="59"/>
        <v>1</v>
      </c>
      <c r="BQ39" s="1533"/>
      <c r="BR39" s="1533"/>
      <c r="BS39" s="1595">
        <f t="shared" si="60"/>
        <v>32</v>
      </c>
      <c r="BT39" s="1596">
        <f t="shared" si="61"/>
        <v>4</v>
      </c>
      <c r="BU39" s="1597">
        <f t="shared" si="62"/>
        <v>57</v>
      </c>
      <c r="BV39" s="1598">
        <f t="shared" si="63"/>
        <v>1324</v>
      </c>
      <c r="BW39" s="1599">
        <f t="shared" si="64"/>
        <v>403.55520000000001</v>
      </c>
      <c r="BX39" s="1600"/>
      <c r="BY39" s="1601">
        <f>'SMMR-Calcs'!H44</f>
        <v>28.59496823246895</v>
      </c>
      <c r="BZ39" s="1602">
        <f>'SMMR-Calcs'!K44</f>
        <v>11.294881588999235</v>
      </c>
      <c r="CA39" s="1602">
        <f>'SMMR-Calcs'!L44</f>
        <v>92.066559999999996</v>
      </c>
      <c r="CB39" s="1603">
        <f>'SMMR-Calcs'!M44</f>
        <v>73.071839999999995</v>
      </c>
      <c r="CC39" s="1604">
        <f>'SMMR-Calcs'!S44</f>
        <v>37.531086032585257</v>
      </c>
      <c r="CD39" s="1605">
        <f>'SMMR-Calcs'!R44</f>
        <v>6.7191980197248202E-2</v>
      </c>
      <c r="CE39" s="1606">
        <f>'SMMR-Calcs'!AS44</f>
        <v>-239.51920373773248</v>
      </c>
      <c r="CF39" s="1607">
        <f>'SMMR-Calcs'!AT44</f>
        <v>-2.49499170560138E-2</v>
      </c>
      <c r="CG39" s="1608">
        <f>'SMMR-Calcs'!AV44</f>
        <v>-776.04222011025331</v>
      </c>
      <c r="CH39" s="1584"/>
      <c r="CI39" s="1737">
        <f>$BM$41</f>
        <v>55</v>
      </c>
      <c r="CJ39" s="1609"/>
      <c r="CK39" s="1609"/>
      <c r="CL39" s="1609"/>
      <c r="CM39" s="1609"/>
      <c r="CN39" s="1609"/>
      <c r="CO39" s="1609"/>
      <c r="CP39" s="1609"/>
      <c r="CQ39" s="1737">
        <f>$BM$41</f>
        <v>55</v>
      </c>
      <c r="CR39" s="1538"/>
      <c r="CS39" s="1538"/>
      <c r="CT39" s="1610">
        <f t="shared" si="65"/>
        <v>32</v>
      </c>
      <c r="CU39" s="1611">
        <f t="shared" si="66"/>
        <v>4</v>
      </c>
      <c r="CV39" s="1612">
        <f t="shared" si="67"/>
        <v>57</v>
      </c>
      <c r="CW39" s="19">
        <f t="shared" si="68"/>
        <v>1324</v>
      </c>
      <c r="CX39" s="1100">
        <f t="shared" si="69"/>
        <v>403.55520000000001</v>
      </c>
      <c r="CY39" s="1584"/>
      <c r="CZ39" s="1601">
        <f>'WNTR-Calcs'!H44</f>
        <v>28.59496823246895</v>
      </c>
      <c r="DA39" s="1602">
        <f>'WNTR-Calcs'!K44</f>
        <v>19.442322383498855</v>
      </c>
      <c r="DB39" s="1602">
        <f>'WNTR-Calcs'!L44</f>
        <v>-22.933440000000001</v>
      </c>
      <c r="DC39" s="1603">
        <f>'WNTR-Calcs'!M44</f>
        <v>-21.928159999999998</v>
      </c>
      <c r="DD39" s="1604">
        <f>'WNTR-Calcs'!S44</f>
        <v>-4.9267830489352393</v>
      </c>
      <c r="DE39" s="1605">
        <f>'WNTR-Calcs'!R44</f>
        <v>8.6718693729889038E-2</v>
      </c>
      <c r="DF39" s="1606">
        <f>'WNTR-Calcs'!AS44</f>
        <v>-492.07246706763846</v>
      </c>
      <c r="DG39" s="1607">
        <f>'WNTR-Calcs'!AT44</f>
        <v>-5.1257548652879008E-2</v>
      </c>
      <c r="DH39" s="1608">
        <f>'WNTR-Calcs'!AV44</f>
        <v>-1594.3147932991485</v>
      </c>
      <c r="DI39" s="1584"/>
      <c r="DJ39" s="1737">
        <f>$BM$41</f>
        <v>55</v>
      </c>
      <c r="DK39" s="1609"/>
      <c r="DL39" s="1609"/>
      <c r="DM39" s="1609"/>
      <c r="DN39" s="1609"/>
      <c r="DO39" s="1609"/>
      <c r="DP39" s="1609"/>
      <c r="DQ39" s="1609"/>
      <c r="DR39" s="1737">
        <f>$BM$41</f>
        <v>55</v>
      </c>
      <c r="DS39" s="1520"/>
    </row>
    <row r="40" spans="2:123" ht="18" customHeight="1" thickTop="1" thickBot="1">
      <c r="B40" s="1264" t="s">
        <v>778</v>
      </c>
      <c r="C40" s="755"/>
      <c r="D40" s="755"/>
      <c r="E40" s="790"/>
      <c r="F40" s="1270"/>
      <c r="G40" s="1290" t="s">
        <v>793</v>
      </c>
      <c r="H40" s="755"/>
      <c r="I40" s="755"/>
      <c r="J40" s="755"/>
      <c r="K40" s="755"/>
      <c r="L40" s="755"/>
      <c r="M40" s="755"/>
      <c r="N40" s="755"/>
      <c r="O40" s="790"/>
      <c r="P40" s="2022">
        <v>3.8</v>
      </c>
      <c r="Q40" s="2005"/>
      <c r="R40" s="2004">
        <v>15.6</v>
      </c>
      <c r="S40" s="2005"/>
      <c r="T40" s="1962">
        <f t="shared" si="55"/>
        <v>3.8000000000000008E-4</v>
      </c>
      <c r="U40" s="1963"/>
      <c r="V40" s="1986"/>
      <c r="W40" s="1962">
        <f t="shared" si="56"/>
        <v>1.5600000000000002E-3</v>
      </c>
      <c r="X40" s="1963"/>
      <c r="Y40" s="1964"/>
      <c r="Z40" s="788"/>
      <c r="AA40" s="1969">
        <f t="shared" si="54"/>
        <v>3.5000000000000003E-2</v>
      </c>
      <c r="AB40" s="1970"/>
      <c r="AC40" s="1971"/>
      <c r="AD40" s="1965">
        <f t="shared" si="53"/>
        <v>0.20351933162035313</v>
      </c>
      <c r="AE40" s="1966"/>
      <c r="AF40" s="1967"/>
      <c r="AG40" s="841"/>
      <c r="AH40" s="862"/>
      <c r="AI40" s="862"/>
      <c r="AJ40" s="862"/>
      <c r="AK40" s="862"/>
      <c r="AL40" s="862"/>
      <c r="AM40" s="841"/>
      <c r="AN40" s="863"/>
      <c r="AO40" s="1232"/>
      <c r="AP40" s="864"/>
      <c r="AQ40" s="864"/>
      <c r="AR40" s="864"/>
      <c r="AS40" s="864"/>
      <c r="AT40" s="864"/>
      <c r="AU40" s="864"/>
      <c r="AV40" s="865"/>
      <c r="AW40" s="997"/>
      <c r="BK40" s="1613">
        <f>BK41+1</f>
        <v>31</v>
      </c>
      <c r="BL40" s="1614">
        <v>3</v>
      </c>
      <c r="BM40" s="1615">
        <f xml:space="preserve"> IF(BL40&lt;=0, "XX", BB$42 + BC$42 + BD$42 + BE$42+BL40)</f>
        <v>56</v>
      </c>
      <c r="BN40" s="12">
        <f>IF(BM40="XX", "XX", $BB$9 + BB$44 + BC$44 + BD$44 +BE$44 + BL40*BF$20)</f>
        <v>1309</v>
      </c>
      <c r="BO40" s="1616">
        <f>IF(BM40="XX", "XX", BN40*0.3048)</f>
        <v>398.98320000000001</v>
      </c>
      <c r="BP40" s="1146">
        <f t="shared" si="59"/>
        <v>1</v>
      </c>
      <c r="BQ40" s="1533"/>
      <c r="BR40" s="1533"/>
      <c r="BS40" s="1595">
        <f t="shared" si="60"/>
        <v>31</v>
      </c>
      <c r="BT40" s="1596">
        <f t="shared" si="61"/>
        <v>3</v>
      </c>
      <c r="BU40" s="1597">
        <f t="shared" si="62"/>
        <v>56</v>
      </c>
      <c r="BV40" s="1598">
        <f t="shared" si="63"/>
        <v>1309</v>
      </c>
      <c r="BW40" s="1599">
        <f t="shared" si="64"/>
        <v>398.98320000000001</v>
      </c>
      <c r="BX40" s="1584"/>
      <c r="BY40" s="1601">
        <f>'SMMR-Calcs'!H45</f>
        <v>28.610613121377433</v>
      </c>
      <c r="BZ40" s="1602">
        <f>'SMMR-Calcs'!K45</f>
        <v>11.180290297937358</v>
      </c>
      <c r="CA40" s="1602">
        <f>'SMMR-Calcs'!L45</f>
        <v>92.119960000000006</v>
      </c>
      <c r="CB40" s="1603">
        <f>'SMMR-Calcs'!M45</f>
        <v>73.106939999999994</v>
      </c>
      <c r="CC40" s="1604">
        <f>'SMMR-Calcs'!S45</f>
        <v>37.552652306112051</v>
      </c>
      <c r="CD40" s="1605">
        <f>'SMMR-Calcs'!R45</f>
        <v>6.7221429027530324E-2</v>
      </c>
      <c r="CE40" s="1606">
        <f>'SMMR-Calcs'!AS45</f>
        <v>-244.56504614682063</v>
      </c>
      <c r="CF40" s="1607">
        <f>'SMMR-Calcs'!AT45</f>
        <v>-2.5475525640293817E-2</v>
      </c>
      <c r="CG40" s="1608">
        <f>'SMMR-Calcs'!AV45</f>
        <v>-792.39074951569899</v>
      </c>
      <c r="CH40" s="1584"/>
      <c r="CI40" s="1737">
        <f>$BM$40</f>
        <v>56</v>
      </c>
      <c r="CJ40" s="1609"/>
      <c r="CK40" s="1609"/>
      <c r="CL40" s="1609"/>
      <c r="CM40" s="1609"/>
      <c r="CN40" s="1609"/>
      <c r="CO40" s="1609"/>
      <c r="CP40" s="1609"/>
      <c r="CQ40" s="1737">
        <f>$BM$40</f>
        <v>56</v>
      </c>
      <c r="CR40" s="1538"/>
      <c r="CS40" s="1538"/>
      <c r="CT40" s="1610">
        <f t="shared" si="65"/>
        <v>31</v>
      </c>
      <c r="CU40" s="1611">
        <f t="shared" si="66"/>
        <v>3</v>
      </c>
      <c r="CV40" s="1612">
        <f t="shared" si="67"/>
        <v>56</v>
      </c>
      <c r="CW40" s="19">
        <f t="shared" si="68"/>
        <v>1309</v>
      </c>
      <c r="CX40" s="1100">
        <f t="shared" si="69"/>
        <v>398.98320000000001</v>
      </c>
      <c r="CY40" s="1584"/>
      <c r="CZ40" s="1601">
        <f>'WNTR-Calcs'!H45</f>
        <v>28.610613121377433</v>
      </c>
      <c r="DA40" s="1602">
        <f>'WNTR-Calcs'!K45</f>
        <v>19.270435446906035</v>
      </c>
      <c r="DB40" s="1602">
        <f>'WNTR-Calcs'!L45</f>
        <v>-22.880040000000001</v>
      </c>
      <c r="DC40" s="1603">
        <f>'WNTR-Calcs'!M45</f>
        <v>-21.893059999999998</v>
      </c>
      <c r="DD40" s="1604">
        <f>'WNTR-Calcs'!S45</f>
        <v>-4.917683675452885</v>
      </c>
      <c r="DE40" s="1605">
        <f>'WNTR-Calcs'!R45</f>
        <v>8.675602700611619E-2</v>
      </c>
      <c r="DF40" s="1606">
        <f>'WNTR-Calcs'!AS45</f>
        <v>-476.33997695716312</v>
      </c>
      <c r="DG40" s="1607">
        <f>'WNTR-Calcs'!AT45</f>
        <v>-4.9618747599704492E-2</v>
      </c>
      <c r="DH40" s="1608">
        <f>'WNTR-Calcs'!AV45</f>
        <v>-1543.3415253412086</v>
      </c>
      <c r="DI40" s="1584"/>
      <c r="DJ40" s="1737">
        <f>$BM$40</f>
        <v>56</v>
      </c>
      <c r="DK40" s="1609"/>
      <c r="DL40" s="1609"/>
      <c r="DM40" s="1609"/>
      <c r="DN40" s="1609"/>
      <c r="DO40" s="1609"/>
      <c r="DP40" s="1609"/>
      <c r="DQ40" s="1609"/>
      <c r="DR40" s="1737">
        <f>$BM$40</f>
        <v>56</v>
      </c>
      <c r="DS40" s="1520"/>
    </row>
    <row r="41" spans="2:123" ht="18" customHeight="1">
      <c r="B41" s="1948" t="s">
        <v>775</v>
      </c>
      <c r="C41" s="755"/>
      <c r="D41" s="755"/>
      <c r="E41" s="790"/>
      <c r="F41" s="1270"/>
      <c r="G41" s="1954" t="s">
        <v>794</v>
      </c>
      <c r="H41" s="755"/>
      <c r="I41" s="755"/>
      <c r="J41" s="755"/>
      <c r="K41" s="755"/>
      <c r="L41" s="755"/>
      <c r="M41" s="755"/>
      <c r="N41" s="755"/>
      <c r="O41" s="790"/>
      <c r="P41" s="2030">
        <v>6.9</v>
      </c>
      <c r="Q41" s="2021"/>
      <c r="R41" s="2020">
        <v>12</v>
      </c>
      <c r="S41" s="2021"/>
      <c r="T41" s="1987">
        <f t="shared" si="55"/>
        <v>6.9000000000000018E-4</v>
      </c>
      <c r="U41" s="1988"/>
      <c r="V41" s="1993"/>
      <c r="W41" s="1987">
        <f t="shared" si="56"/>
        <v>1.2000000000000001E-3</v>
      </c>
      <c r="X41" s="1988"/>
      <c r="Y41" s="1989"/>
      <c r="Z41" s="788"/>
      <c r="AA41" s="1969">
        <f t="shared" si="54"/>
        <v>0.04</v>
      </c>
      <c r="AB41" s="1970"/>
      <c r="AC41" s="1971"/>
      <c r="AD41" s="1965">
        <f t="shared" si="53"/>
        <v>0.23259352185183213</v>
      </c>
      <c r="AE41" s="1966"/>
      <c r="AF41" s="1967"/>
      <c r="AG41" s="841"/>
      <c r="AH41" s="862"/>
      <c r="AI41" s="862"/>
      <c r="AJ41" s="862"/>
      <c r="AK41" s="862"/>
      <c r="AL41" s="862"/>
      <c r="AM41" s="841"/>
      <c r="AN41" s="863"/>
      <c r="AO41" s="1232"/>
      <c r="AP41" s="864"/>
      <c r="AQ41" s="864"/>
      <c r="AR41" s="864"/>
      <c r="AS41" s="864"/>
      <c r="AT41" s="864"/>
      <c r="AU41" s="864"/>
      <c r="AV41" s="865"/>
      <c r="AW41" s="997"/>
      <c r="AY41" s="1450" t="s">
        <v>912</v>
      </c>
      <c r="AZ41" s="1451"/>
      <c r="BA41" s="1452" t="s">
        <v>122</v>
      </c>
      <c r="BB41" s="1453" t="str">
        <f t="shared" ref="BB41:BI41" si="72">BB14</f>
        <v>1-Grd</v>
      </c>
      <c r="BC41" s="1453" t="str">
        <f t="shared" si="72"/>
        <v>2-Rtl</v>
      </c>
      <c r="BD41" s="1453" t="str">
        <f t="shared" si="72"/>
        <v>3-Fin</v>
      </c>
      <c r="BE41" s="1453" t="str">
        <f t="shared" si="72"/>
        <v>4-Ofc</v>
      </c>
      <c r="BF41" s="1453" t="str">
        <f t="shared" si="72"/>
        <v>5-Srv</v>
      </c>
      <c r="BG41" s="1453" t="str">
        <f t="shared" si="72"/>
        <v>6-Htl</v>
      </c>
      <c r="BH41" s="1453" t="str">
        <f t="shared" si="72"/>
        <v>7-Apt</v>
      </c>
      <c r="BI41" s="1454" t="str">
        <f t="shared" si="72"/>
        <v>8-din</v>
      </c>
      <c r="BK41" s="1613">
        <f>BK42+1</f>
        <v>30</v>
      </c>
      <c r="BL41" s="1614">
        <v>2</v>
      </c>
      <c r="BM41" s="1615">
        <f xml:space="preserve"> IF(BL41&lt;=0, "XX", BB$42 + BC$42 + BD$42 + BE$42+BL41)</f>
        <v>55</v>
      </c>
      <c r="BN41" s="12">
        <f>IF(BM41="XX", "XX", $BB$9 + BB$44 + BC$44 + BD$44 +BE$44 + BL41*BF$20)</f>
        <v>1294</v>
      </c>
      <c r="BO41" s="1616">
        <f>IF(BM41="XX", "XX", BN41*0.3048)</f>
        <v>394.41120000000001</v>
      </c>
      <c r="BP41" s="1146">
        <f t="shared" si="59"/>
        <v>1</v>
      </c>
      <c r="BQ41" s="1533"/>
      <c r="BR41" s="1533"/>
      <c r="BS41" s="1595">
        <f t="shared" si="60"/>
        <v>30</v>
      </c>
      <c r="BT41" s="1596">
        <f t="shared" si="61"/>
        <v>2</v>
      </c>
      <c r="BU41" s="1597">
        <f t="shared" si="62"/>
        <v>55</v>
      </c>
      <c r="BV41" s="1598">
        <f t="shared" si="63"/>
        <v>1294</v>
      </c>
      <c r="BW41" s="1599">
        <f t="shared" si="64"/>
        <v>394.41120000000001</v>
      </c>
      <c r="BX41" s="1584"/>
      <c r="BY41" s="1601">
        <f>'SMMR-Calcs'!H46</f>
        <v>28.626264940500743</v>
      </c>
      <c r="BZ41" s="1602">
        <f>'SMMR-Calcs'!K46</f>
        <v>11.065699006875477</v>
      </c>
      <c r="CA41" s="1602">
        <f>'SMMR-Calcs'!L46</f>
        <v>92.173360000000002</v>
      </c>
      <c r="CB41" s="1603">
        <f>'SMMR-Calcs'!M46</f>
        <v>73.142039999999994</v>
      </c>
      <c r="CC41" s="1604">
        <f>'SMMR-Calcs'!S46</f>
        <v>37.574225019267374</v>
      </c>
      <c r="CD41" s="1605">
        <f>'SMMR-Calcs'!R46</f>
        <v>6.7250886992948164E-2</v>
      </c>
      <c r="CE41" s="1606">
        <f>'SMMR-Calcs'!AS46</f>
        <v>-249.54268665086221</v>
      </c>
      <c r="CF41" s="1607">
        <f>'SMMR-Calcs'!AT46</f>
        <v>-2.5994029859464814E-2</v>
      </c>
      <c r="CG41" s="1608">
        <f>'SMMR-Calcs'!AV46</f>
        <v>-808.51830474879364</v>
      </c>
      <c r="CH41" s="1584"/>
      <c r="CI41" s="1737">
        <f>$BM$39</f>
        <v>57</v>
      </c>
      <c r="CJ41" s="1609"/>
      <c r="CK41" s="1609"/>
      <c r="CL41" s="1609"/>
      <c r="CM41" s="1609"/>
      <c r="CN41" s="1609"/>
      <c r="CO41" s="1609"/>
      <c r="CP41" s="1609"/>
      <c r="CQ41" s="1737">
        <f>$BM$39</f>
        <v>57</v>
      </c>
      <c r="CR41" s="1538"/>
      <c r="CS41" s="1538"/>
      <c r="CT41" s="1610">
        <f t="shared" si="65"/>
        <v>30</v>
      </c>
      <c r="CU41" s="1611">
        <f t="shared" si="66"/>
        <v>2</v>
      </c>
      <c r="CV41" s="1612">
        <f t="shared" si="67"/>
        <v>55</v>
      </c>
      <c r="CW41" s="19">
        <f t="shared" si="68"/>
        <v>1294</v>
      </c>
      <c r="CX41" s="1100">
        <f t="shared" si="69"/>
        <v>394.41120000000001</v>
      </c>
      <c r="CY41" s="1584"/>
      <c r="CZ41" s="1601">
        <f>'WNTR-Calcs'!H46</f>
        <v>28.626264940500743</v>
      </c>
      <c r="DA41" s="1602">
        <f>'WNTR-Calcs'!K46</f>
        <v>19.098548510313215</v>
      </c>
      <c r="DB41" s="1602">
        <f>'WNTR-Calcs'!L46</f>
        <v>-22.826640000000001</v>
      </c>
      <c r="DC41" s="1603">
        <f>'WNTR-Calcs'!M46</f>
        <v>-21.857959999999999</v>
      </c>
      <c r="DD41" s="1604">
        <f>'WNTR-Calcs'!S46</f>
        <v>-4.9085840783203967</v>
      </c>
      <c r="DE41" s="1605">
        <f>'WNTR-Calcs'!R46</f>
        <v>8.6793372662263113E-2</v>
      </c>
      <c r="DF41" s="1606">
        <f>'WNTR-Calcs'!AS46</f>
        <v>-460.08883475606592</v>
      </c>
      <c r="DG41" s="1607">
        <f>'WNTR-Calcs'!AT46</f>
        <v>-4.7925920287090203E-2</v>
      </c>
      <c r="DH41" s="1608">
        <f>'WNTR-Calcs'!AV46</f>
        <v>-1490.6878246096535</v>
      </c>
      <c r="DI41" s="1584"/>
      <c r="DJ41" s="1737">
        <f>$BM$39</f>
        <v>57</v>
      </c>
      <c r="DK41" s="1609"/>
      <c r="DL41" s="1609"/>
      <c r="DM41" s="1609"/>
      <c r="DN41" s="1609"/>
      <c r="DO41" s="1609"/>
      <c r="DP41" s="1609"/>
      <c r="DQ41" s="1609"/>
      <c r="DR41" s="1737">
        <f>$BM$39</f>
        <v>57</v>
      </c>
      <c r="DS41" s="1520"/>
    </row>
    <row r="42" spans="2:123" ht="18" customHeight="1" thickBot="1">
      <c r="B42" s="1948" t="s">
        <v>776</v>
      </c>
      <c r="C42" s="755"/>
      <c r="D42" s="755"/>
      <c r="E42" s="790"/>
      <c r="F42" s="1270"/>
      <c r="G42" s="1954" t="s">
        <v>795</v>
      </c>
      <c r="H42" s="755"/>
      <c r="I42" s="755"/>
      <c r="J42" s="755"/>
      <c r="K42" s="755"/>
      <c r="L42" s="755"/>
      <c r="M42" s="755"/>
      <c r="N42" s="755"/>
      <c r="O42" s="790"/>
      <c r="P42" s="2030">
        <v>3.8</v>
      </c>
      <c r="Q42" s="2021"/>
      <c r="R42" s="2020">
        <v>5.5</v>
      </c>
      <c r="S42" s="2021"/>
      <c r="T42" s="1987">
        <f t="shared" si="55"/>
        <v>3.8000000000000008E-4</v>
      </c>
      <c r="U42" s="1988"/>
      <c r="V42" s="1993"/>
      <c r="W42" s="1987">
        <f t="shared" si="56"/>
        <v>5.5000000000000014E-4</v>
      </c>
      <c r="X42" s="1988"/>
      <c r="Y42" s="1989"/>
      <c r="Z42" s="788"/>
      <c r="AA42" s="1969">
        <f t="shared" si="54"/>
        <v>4.4999999999999998E-2</v>
      </c>
      <c r="AB42" s="1970"/>
      <c r="AC42" s="1971"/>
      <c r="AD42" s="1965">
        <f t="shared" si="53"/>
        <v>0.26166771208331113</v>
      </c>
      <c r="AE42" s="1966"/>
      <c r="AF42" s="1967"/>
      <c r="AG42" s="817"/>
      <c r="AH42" s="817"/>
      <c r="AI42" s="817"/>
      <c r="AJ42" s="817"/>
      <c r="AK42" s="817"/>
      <c r="AL42" s="817"/>
      <c r="AM42" s="817"/>
      <c r="AN42" s="867"/>
      <c r="AO42" s="1232"/>
      <c r="AP42" s="868"/>
      <c r="AQ42" s="868"/>
      <c r="AR42" s="868"/>
      <c r="AS42" s="868"/>
      <c r="AT42" s="868"/>
      <c r="AU42" s="868"/>
      <c r="AV42" s="869"/>
      <c r="AW42" s="998"/>
      <c r="AY42" s="1455"/>
      <c r="AZ42" s="1368"/>
      <c r="BA42" s="1368" t="s">
        <v>79</v>
      </c>
      <c r="BB42" s="1456">
        <f t="shared" ref="BB42:BI42" si="73">BB22+(IF(BB23="Y", 1,0))</f>
        <v>2</v>
      </c>
      <c r="BC42" s="1456">
        <f t="shared" si="73"/>
        <v>4</v>
      </c>
      <c r="BD42" s="1456">
        <f t="shared" si="73"/>
        <v>6</v>
      </c>
      <c r="BE42" s="1456">
        <f t="shared" si="73"/>
        <v>41</v>
      </c>
      <c r="BF42" s="1456">
        <f t="shared" si="73"/>
        <v>5</v>
      </c>
      <c r="BG42" s="1456">
        <f t="shared" si="73"/>
        <v>25</v>
      </c>
      <c r="BH42" s="1456">
        <f t="shared" si="73"/>
        <v>16</v>
      </c>
      <c r="BI42" s="1457">
        <f t="shared" si="73"/>
        <v>3</v>
      </c>
      <c r="BK42" s="1617">
        <f>BK44+1</f>
        <v>29</v>
      </c>
      <c r="BL42" s="1618">
        <v>1</v>
      </c>
      <c r="BM42" s="1619">
        <f xml:space="preserve"> IF(BL42&lt;=0, "XX", BB$42 + BC$42 + BD$42 + BE$42+BL42)</f>
        <v>54</v>
      </c>
      <c r="BN42" s="1620">
        <f>IF(BM42="XX", "XX", $BB$9 + BB$44 + BC$44 + BD$44 +BE$44 + BL42*BF$20)</f>
        <v>1279</v>
      </c>
      <c r="BO42" s="1621">
        <f>IF(BM42="XX", "XX", BN42*0.3048)</f>
        <v>389.83920000000001</v>
      </c>
      <c r="BP42" s="1146">
        <f t="shared" si="59"/>
        <v>1</v>
      </c>
      <c r="BQ42" s="1533"/>
      <c r="BR42" s="1533"/>
      <c r="BS42" s="1595">
        <f t="shared" si="60"/>
        <v>29</v>
      </c>
      <c r="BT42" s="1596">
        <f t="shared" si="61"/>
        <v>1</v>
      </c>
      <c r="BU42" s="1597">
        <f t="shared" si="62"/>
        <v>54</v>
      </c>
      <c r="BV42" s="1598">
        <f t="shared" si="63"/>
        <v>1279</v>
      </c>
      <c r="BW42" s="1599">
        <f t="shared" si="64"/>
        <v>389.83920000000001</v>
      </c>
      <c r="BX42" s="1584"/>
      <c r="BY42" s="1623">
        <f>'SMMR-Calcs'!H47</f>
        <v>28.641923692187081</v>
      </c>
      <c r="BZ42" s="1624">
        <f>'SMMR-Calcs'!K47</f>
        <v>10.951107715813599</v>
      </c>
      <c r="CA42" s="1624">
        <f>'SMMR-Calcs'!L47</f>
        <v>92.226759999999999</v>
      </c>
      <c r="CB42" s="1625">
        <f>'SMMR-Calcs'!M47</f>
        <v>73.177139999999994</v>
      </c>
      <c r="CC42" s="1626">
        <f>'SMMR-Calcs'!S47</f>
        <v>37.595804174077813</v>
      </c>
      <c r="CD42" s="1627">
        <f>'SMMR-Calcs'!R47</f>
        <v>6.7280354094738912E-2</v>
      </c>
      <c r="CE42" s="1628">
        <f>'SMMR-Calcs'!AS47</f>
        <v>-254.45612772649929</v>
      </c>
      <c r="CF42" s="1629">
        <f>'SMMR-Calcs'!AT47</f>
        <v>-2.6505846638177011E-2</v>
      </c>
      <c r="CG42" s="1630">
        <f>'SMMR-Calcs'!AV47</f>
        <v>-824.43785383385784</v>
      </c>
      <c r="CH42" s="1584"/>
      <c r="CI42" s="1737">
        <f>$BM$38</f>
        <v>58</v>
      </c>
      <c r="CJ42" s="1609"/>
      <c r="CK42" s="1609"/>
      <c r="CL42" s="1609"/>
      <c r="CM42" s="1609"/>
      <c r="CN42" s="1609"/>
      <c r="CO42" s="1609"/>
      <c r="CP42" s="1609"/>
      <c r="CQ42" s="1737">
        <f>$BM$38</f>
        <v>58</v>
      </c>
      <c r="CR42" s="1538"/>
      <c r="CS42" s="1538"/>
      <c r="CT42" s="1610">
        <f t="shared" si="65"/>
        <v>29</v>
      </c>
      <c r="CU42" s="1611">
        <f t="shared" si="66"/>
        <v>1</v>
      </c>
      <c r="CV42" s="1612">
        <f t="shared" si="67"/>
        <v>54</v>
      </c>
      <c r="CW42" s="19">
        <f t="shared" si="68"/>
        <v>1279</v>
      </c>
      <c r="CX42" s="1100">
        <f t="shared" si="69"/>
        <v>389.83920000000001</v>
      </c>
      <c r="CY42" s="1584"/>
      <c r="CZ42" s="1623">
        <f>'WNTR-Calcs'!H47</f>
        <v>28.641923692187081</v>
      </c>
      <c r="DA42" s="1624">
        <f>'WNTR-Calcs'!K47</f>
        <v>18.926661573720395</v>
      </c>
      <c r="DB42" s="1624">
        <f>'WNTR-Calcs'!L47</f>
        <v>-22.773240000000001</v>
      </c>
      <c r="DC42" s="1625">
        <f>'WNTR-Calcs'!M47</f>
        <v>-21.822859999999999</v>
      </c>
      <c r="DD42" s="1626">
        <f>'WNTR-Calcs'!S47</f>
        <v>-4.8994842571161854</v>
      </c>
      <c r="DE42" s="1631">
        <f>'WNTR-Calcs'!R47</f>
        <v>8.6830730701138628E-2</v>
      </c>
      <c r="DF42" s="1628">
        <f>'WNTR-Calcs'!AS47</f>
        <v>-443.26199870467531</v>
      </c>
      <c r="DG42" s="1629">
        <f>'WNTR-Calcs'!AT47</f>
        <v>-4.6173124865070345E-2</v>
      </c>
      <c r="DH42" s="1630">
        <f>'WNTR-Calcs'!AV47</f>
        <v>-1436.1688758031482</v>
      </c>
      <c r="DI42" s="1584"/>
      <c r="DJ42" s="1737">
        <f>$BM$38</f>
        <v>58</v>
      </c>
      <c r="DK42" s="1609"/>
      <c r="DL42" s="1609"/>
      <c r="DM42" s="1609"/>
      <c r="DN42" s="1609"/>
      <c r="DO42" s="1609"/>
      <c r="DP42" s="1609"/>
      <c r="DQ42" s="1609"/>
      <c r="DR42" s="1737">
        <f>$BM$38</f>
        <v>58</v>
      </c>
      <c r="DS42" s="1520"/>
    </row>
    <row r="43" spans="2:123" ht="18" customHeight="1">
      <c r="B43" s="1264" t="s">
        <v>779</v>
      </c>
      <c r="C43" s="755"/>
      <c r="D43" s="755"/>
      <c r="E43" s="790"/>
      <c r="F43" s="1270"/>
      <c r="G43" s="1290" t="s">
        <v>796</v>
      </c>
      <c r="H43" s="755"/>
      <c r="I43" s="755"/>
      <c r="J43" s="755"/>
      <c r="K43" s="755"/>
      <c r="L43" s="755"/>
      <c r="M43" s="755"/>
      <c r="N43" s="755"/>
      <c r="O43" s="790"/>
      <c r="P43" s="2022">
        <v>3.7</v>
      </c>
      <c r="Q43" s="2005"/>
      <c r="R43" s="2004">
        <v>6.3</v>
      </c>
      <c r="S43" s="2005"/>
      <c r="T43" s="1962">
        <f t="shared" si="55"/>
        <v>3.700000000000001E-4</v>
      </c>
      <c r="U43" s="1963"/>
      <c r="V43" s="1986"/>
      <c r="W43" s="1962">
        <f t="shared" si="56"/>
        <v>6.3000000000000013E-4</v>
      </c>
      <c r="X43" s="1963"/>
      <c r="Y43" s="1964"/>
      <c r="Z43" s="788"/>
      <c r="AA43" s="1969">
        <f t="shared" si="54"/>
        <v>4.9999999999999996E-2</v>
      </c>
      <c r="AB43" s="1970"/>
      <c r="AC43" s="1971"/>
      <c r="AD43" s="1965">
        <f t="shared" si="53"/>
        <v>0.29074190231479013</v>
      </c>
      <c r="AE43" s="1966"/>
      <c r="AF43" s="1967"/>
      <c r="AG43" s="817"/>
      <c r="AH43" s="817"/>
      <c r="AI43" s="817"/>
      <c r="AJ43" s="817"/>
      <c r="AK43" s="817"/>
      <c r="AL43" s="817"/>
      <c r="AM43" s="817"/>
      <c r="AN43" s="867"/>
      <c r="AO43" s="1232"/>
      <c r="AP43" s="868"/>
      <c r="AQ43" s="868"/>
      <c r="AR43" s="868"/>
      <c r="AS43" s="868"/>
      <c r="AT43" s="868"/>
      <c r="AU43" s="868"/>
      <c r="AV43" s="869"/>
      <c r="AW43" s="998"/>
      <c r="AY43" s="1458"/>
      <c r="AZ43" s="1459"/>
      <c r="BA43" s="1459" t="s">
        <v>21</v>
      </c>
      <c r="BB43" s="1460">
        <f t="shared" ref="BB43:BI43" si="74">IF((BB18&gt;0), BB18, (BB16*BB17))</f>
        <v>76800</v>
      </c>
      <c r="BC43" s="1460">
        <f t="shared" si="74"/>
        <v>56000</v>
      </c>
      <c r="BD43" s="1460">
        <f t="shared" si="74"/>
        <v>38400</v>
      </c>
      <c r="BE43" s="1460">
        <f t="shared" si="74"/>
        <v>30800</v>
      </c>
      <c r="BF43" s="1460">
        <f t="shared" si="74"/>
        <v>24000</v>
      </c>
      <c r="BG43" s="1460">
        <f t="shared" si="74"/>
        <v>18000</v>
      </c>
      <c r="BH43" s="1460">
        <f t="shared" si="74"/>
        <v>18000</v>
      </c>
      <c r="BI43" s="1461">
        <f t="shared" si="74"/>
        <v>18000</v>
      </c>
      <c r="BK43" s="1632" t="s">
        <v>127</v>
      </c>
      <c r="BL43" s="1633"/>
      <c r="BM43" s="1634" t="str">
        <f>BE14</f>
        <v>4-Ofc</v>
      </c>
      <c r="BN43" s="1635" t="s">
        <v>128</v>
      </c>
      <c r="BO43" s="1636">
        <f>BE42</f>
        <v>41</v>
      </c>
      <c r="BP43" s="1574">
        <f>SUM(BP44:BP58)</f>
        <v>15</v>
      </c>
      <c r="BQ43" s="1533"/>
      <c r="BR43" s="1533"/>
      <c r="BS43" s="1632" t="str">
        <f>BK43</f>
        <v>Section &gt;&gt;</v>
      </c>
      <c r="BT43" s="1633"/>
      <c r="BU43" s="1634" t="str">
        <f>BM43</f>
        <v>4-Ofc</v>
      </c>
      <c r="BV43" s="1635" t="str">
        <f>BN43</f>
        <v># flrs &gt;&gt;</v>
      </c>
      <c r="BW43" s="1636">
        <f>BO43</f>
        <v>41</v>
      </c>
      <c r="BX43" s="1575"/>
      <c r="BY43" s="1576" t="s">
        <v>14</v>
      </c>
      <c r="BZ43" s="1577" t="s">
        <v>116</v>
      </c>
      <c r="CA43" s="1577" t="s">
        <v>36</v>
      </c>
      <c r="CB43" s="1578" t="s">
        <v>37</v>
      </c>
      <c r="CC43" s="1579" t="s">
        <v>915</v>
      </c>
      <c r="CD43" s="1580" t="s">
        <v>914</v>
      </c>
      <c r="CE43" s="1581" t="s">
        <v>115</v>
      </c>
      <c r="CF43" s="1582" t="s">
        <v>931</v>
      </c>
      <c r="CG43" s="1583" t="s">
        <v>151</v>
      </c>
      <c r="CH43" s="1584"/>
      <c r="CI43" s="1737" t="str">
        <f>$BM$37</f>
        <v>XX</v>
      </c>
      <c r="CJ43" s="1609"/>
      <c r="CK43" s="1609"/>
      <c r="CL43" s="1609"/>
      <c r="CM43" s="1609"/>
      <c r="CN43" s="1609"/>
      <c r="CO43" s="1609"/>
      <c r="CP43" s="1609"/>
      <c r="CQ43" s="1737" t="str">
        <f>$BM$37</f>
        <v>XX</v>
      </c>
      <c r="CR43" s="1538"/>
      <c r="CS43" s="1538"/>
      <c r="CT43" s="1637" t="str">
        <f>BK43</f>
        <v>Section &gt;&gt;</v>
      </c>
      <c r="CU43" s="1638"/>
      <c r="CV43" s="1634" t="str">
        <f>BM43</f>
        <v>4-Ofc</v>
      </c>
      <c r="CW43" s="1639" t="str">
        <f>BN43</f>
        <v># flrs &gt;&gt;</v>
      </c>
      <c r="CX43" s="1640">
        <f>BO43</f>
        <v>41</v>
      </c>
      <c r="CY43" s="1575"/>
      <c r="CZ43" s="1576" t="s">
        <v>14</v>
      </c>
      <c r="DA43" s="1577" t="s">
        <v>116</v>
      </c>
      <c r="DB43" s="1577" t="s">
        <v>36</v>
      </c>
      <c r="DC43" s="1578" t="s">
        <v>37</v>
      </c>
      <c r="DD43" s="1579" t="s">
        <v>915</v>
      </c>
      <c r="DE43" s="1580" t="s">
        <v>914</v>
      </c>
      <c r="DF43" s="1641" t="s">
        <v>115</v>
      </c>
      <c r="DG43" s="1642" t="s">
        <v>931</v>
      </c>
      <c r="DH43" s="1643" t="s">
        <v>151</v>
      </c>
      <c r="DI43" s="1584"/>
      <c r="DJ43" s="1737" t="str">
        <f>$BM$37</f>
        <v>XX</v>
      </c>
      <c r="DK43" s="1609"/>
      <c r="DL43" s="1609"/>
      <c r="DM43" s="1609"/>
      <c r="DN43" s="1609"/>
      <c r="DO43" s="1609"/>
      <c r="DP43" s="1609"/>
      <c r="DQ43" s="1609"/>
      <c r="DR43" s="1737" t="str">
        <f>$BM$37</f>
        <v>XX</v>
      </c>
      <c r="DS43" s="1520"/>
    </row>
    <row r="44" spans="2:123" ht="18" customHeight="1">
      <c r="B44" s="1264" t="s">
        <v>781</v>
      </c>
      <c r="C44" s="755"/>
      <c r="D44" s="755"/>
      <c r="E44" s="790"/>
      <c r="F44" s="1270"/>
      <c r="G44" s="1290" t="s">
        <v>797</v>
      </c>
      <c r="H44" s="755"/>
      <c r="I44" s="755"/>
      <c r="J44" s="755"/>
      <c r="K44" s="755"/>
      <c r="L44" s="755"/>
      <c r="M44" s="755"/>
      <c r="N44" s="755"/>
      <c r="O44" s="790"/>
      <c r="P44" s="2022">
        <v>5.6</v>
      </c>
      <c r="Q44" s="2005"/>
      <c r="R44" s="2004">
        <v>7.6</v>
      </c>
      <c r="S44" s="2005"/>
      <c r="T44" s="1962">
        <f t="shared" si="55"/>
        <v>5.6000000000000006E-4</v>
      </c>
      <c r="U44" s="1963"/>
      <c r="V44" s="1986"/>
      <c r="W44" s="1962">
        <f t="shared" si="56"/>
        <v>7.6000000000000015E-4</v>
      </c>
      <c r="X44" s="1963"/>
      <c r="Y44" s="1964"/>
      <c r="Z44" s="788"/>
      <c r="AA44" s="1969">
        <f t="shared" si="54"/>
        <v>5.4999999999999993E-2</v>
      </c>
      <c r="AB44" s="1970"/>
      <c r="AC44" s="1971"/>
      <c r="AD44" s="1965">
        <f t="shared" si="53"/>
        <v>0.31981609254626914</v>
      </c>
      <c r="AE44" s="1966"/>
      <c r="AF44" s="1967"/>
      <c r="AG44" s="817"/>
      <c r="AH44" s="817"/>
      <c r="AI44" s="817"/>
      <c r="AJ44" s="817"/>
      <c r="AK44" s="817"/>
      <c r="AL44" s="817"/>
      <c r="AM44" s="817"/>
      <c r="AN44" s="867"/>
      <c r="AO44" s="1232"/>
      <c r="AP44" s="868"/>
      <c r="AQ44" s="868"/>
      <c r="AR44" s="868"/>
      <c r="AS44" s="868"/>
      <c r="AT44" s="868"/>
      <c r="AU44" s="868"/>
      <c r="AV44" s="869"/>
      <c r="AW44" s="998"/>
      <c r="AY44" s="1462"/>
      <c r="AZ44" s="1463"/>
      <c r="BA44" s="1374" t="s">
        <v>78</v>
      </c>
      <c r="BB44" s="1464">
        <f t="shared" ref="BB44:BI44" si="75" xml:space="preserve"> BB20*BB22 + 20* (IF(BB23="Y",1,0))</f>
        <v>40</v>
      </c>
      <c r="BC44" s="1464">
        <f t="shared" si="75"/>
        <v>74</v>
      </c>
      <c r="BD44" s="1464">
        <f t="shared" si="75"/>
        <v>90</v>
      </c>
      <c r="BE44" s="1464">
        <f t="shared" si="75"/>
        <v>560</v>
      </c>
      <c r="BF44" s="1464">
        <f t="shared" si="75"/>
        <v>75</v>
      </c>
      <c r="BG44" s="1464">
        <f t="shared" si="75"/>
        <v>250</v>
      </c>
      <c r="BH44" s="1464">
        <f t="shared" si="75"/>
        <v>170</v>
      </c>
      <c r="BI44" s="1465">
        <f t="shared" si="75"/>
        <v>50</v>
      </c>
      <c r="BK44" s="1617">
        <f t="shared" ref="BK44:BK58" si="76">BK45+1</f>
        <v>28</v>
      </c>
      <c r="BL44" s="1592">
        <v>41</v>
      </c>
      <c r="BM44" s="1593">
        <f t="shared" ref="BM44:BM60" si="77" xml:space="preserve"> IF(BL44&lt;=0, "XX", BB$42 + BC$42 + BD$42+BL44)</f>
        <v>53</v>
      </c>
      <c r="BN44" s="1620">
        <f t="shared" ref="BN44:BN60" si="78">IF(BM44="XX", "XX", $BB$9 + BB$44 + BC$44 + BD$44 + BL44*BE$20)</f>
        <v>1257.5</v>
      </c>
      <c r="BO44" s="1594">
        <f t="shared" ref="BO44:BO53" si="79">IF(BM44="XX", "XX", BN44*0.3048)</f>
        <v>383.286</v>
      </c>
      <c r="BP44" s="1146">
        <f t="shared" ref="BP44:BP58" si="80">IF( (BL44&gt;0),1, 0)</f>
        <v>1</v>
      </c>
      <c r="BQ44" s="1533"/>
      <c r="BR44" s="1533"/>
      <c r="BS44" s="1595">
        <f t="shared" ref="BS44:BS60" si="81">BK44</f>
        <v>28</v>
      </c>
      <c r="BT44" s="1596">
        <f t="shared" ref="BT44:BT60" si="82">BL44</f>
        <v>41</v>
      </c>
      <c r="BU44" s="1597">
        <f t="shared" ref="BU44:BU60" si="83">BM44</f>
        <v>53</v>
      </c>
      <c r="BV44" s="1598">
        <f t="shared" ref="BV44:BV60" si="84">BN44</f>
        <v>1257.5</v>
      </c>
      <c r="BW44" s="1599">
        <f t="shared" ref="BW44:BW60" si="85">IF(BU44="XX", "XX", BV44*0.3048)</f>
        <v>383.286</v>
      </c>
      <c r="BX44" s="1584"/>
      <c r="BY44" s="1601">
        <f>'SMMR-Calcs'!H49</f>
        <v>28.664379997244982</v>
      </c>
      <c r="BZ44" s="1602">
        <f>'SMMR-Calcs'!K49</f>
        <v>10.786860198624904</v>
      </c>
      <c r="CA44" s="1602">
        <f>'SMMR-Calcs'!L49</f>
        <v>92.303300000000007</v>
      </c>
      <c r="CB44" s="1603">
        <f>'SMMR-Calcs'!M49</f>
        <v>73.227450000000005</v>
      </c>
      <c r="CC44" s="1604">
        <f>'SMMR-Calcs'!S49</f>
        <v>37.626745533548473</v>
      </c>
      <c r="CD44" s="1605">
        <f>'SMMR-Calcs'!R49</f>
        <v>6.7322606209259797E-2</v>
      </c>
      <c r="CE44" s="1606">
        <f>'SMMR-Calcs'!AS49</f>
        <v>-242.84914656551118</v>
      </c>
      <c r="CF44" s="1607">
        <f>'SMMR-Calcs'!AT49</f>
        <v>-2.4984480099332424E-2</v>
      </c>
      <c r="CG44" s="1608">
        <f>'SMMR-Calcs'!AV49</f>
        <v>-786.83123487225635</v>
      </c>
      <c r="CH44" s="1584"/>
      <c r="CI44" s="1525" t="str">
        <f>$BM$36</f>
        <v>5-Srv</v>
      </c>
      <c r="CJ44" s="1609"/>
      <c r="CK44" s="1609"/>
      <c r="CL44" s="1609"/>
      <c r="CM44" s="1609"/>
      <c r="CN44" s="1609"/>
      <c r="CO44" s="1609"/>
      <c r="CP44" s="1609"/>
      <c r="CQ44" s="1525" t="str">
        <f>$BM$36</f>
        <v>5-Srv</v>
      </c>
      <c r="CR44" s="1538"/>
      <c r="CS44" s="1538"/>
      <c r="CT44" s="1610">
        <f t="shared" ref="CT44:CT60" si="86">BK44</f>
        <v>28</v>
      </c>
      <c r="CU44" s="1611">
        <f t="shared" ref="CU44:CU60" si="87">BL44</f>
        <v>41</v>
      </c>
      <c r="CV44" s="1612">
        <f t="shared" ref="CV44:CV60" si="88">BM44</f>
        <v>53</v>
      </c>
      <c r="CW44" s="19">
        <f t="shared" ref="CW44:CW60" si="89">BN44</f>
        <v>1257.5</v>
      </c>
      <c r="CX44" s="1100">
        <f t="shared" ref="CX44:CX60" si="90">BO44</f>
        <v>383.286</v>
      </c>
      <c r="CY44" s="1584"/>
      <c r="CZ44" s="1601">
        <f>'WNTR-Calcs'!H49</f>
        <v>28.664379997244982</v>
      </c>
      <c r="DA44" s="1602">
        <f>'WNTR-Calcs'!K49</f>
        <v>18.680290297937354</v>
      </c>
      <c r="DB44" s="1602">
        <f>'WNTR-Calcs'!L49</f>
        <v>-22.6967</v>
      </c>
      <c r="DC44" s="1603">
        <f>'WNTR-Calcs'!M49</f>
        <v>-21.772549999999999</v>
      </c>
      <c r="DD44" s="1604">
        <f>'WNTR-Calcs'!S49</f>
        <v>-4.8864407884586525</v>
      </c>
      <c r="DE44" s="1605">
        <f>'WNTR-Calcs'!R49</f>
        <v>8.688429882323645E-2</v>
      </c>
      <c r="DF44" s="1606">
        <f>'WNTR-Calcs'!AS49</f>
        <v>-355.01476795675603</v>
      </c>
      <c r="DG44" s="1607">
        <f>'WNTR-Calcs'!AT49</f>
        <v>-3.6524153081970788E-2</v>
      </c>
      <c r="DH44" s="1608">
        <f>'WNTR-Calcs'!AV49</f>
        <v>-1150.2478481798896</v>
      </c>
      <c r="DI44" s="1584"/>
      <c r="DJ44" s="1525" t="str">
        <f>$BM$36</f>
        <v>5-Srv</v>
      </c>
      <c r="DK44" s="1609"/>
      <c r="DL44" s="1609"/>
      <c r="DM44" s="1609"/>
      <c r="DN44" s="1609"/>
      <c r="DO44" s="1609"/>
      <c r="DP44" s="1609"/>
      <c r="DQ44" s="1609"/>
      <c r="DR44" s="1525" t="str">
        <f>$BM$36</f>
        <v>5-Srv</v>
      </c>
      <c r="DS44" s="1521"/>
    </row>
    <row r="45" spans="2:123" ht="18" customHeight="1" thickBot="1">
      <c r="B45" s="1264" t="s">
        <v>777</v>
      </c>
      <c r="C45" s="755"/>
      <c r="D45" s="755"/>
      <c r="E45" s="790"/>
      <c r="F45" s="1270"/>
      <c r="G45" s="1290" t="s">
        <v>798</v>
      </c>
      <c r="H45" s="755"/>
      <c r="I45" s="755"/>
      <c r="J45" s="755"/>
      <c r="K45" s="755"/>
      <c r="L45" s="755"/>
      <c r="M45" s="755"/>
      <c r="N45" s="755"/>
      <c r="O45" s="790"/>
      <c r="P45" s="2022">
        <v>7.4</v>
      </c>
      <c r="Q45" s="2005"/>
      <c r="R45" s="2004">
        <v>9.8000000000000007</v>
      </c>
      <c r="S45" s="2005"/>
      <c r="T45" s="1962">
        <f t="shared" si="55"/>
        <v>7.4000000000000021E-4</v>
      </c>
      <c r="U45" s="1963"/>
      <c r="V45" s="1986"/>
      <c r="W45" s="1962">
        <f t="shared" si="56"/>
        <v>9.8000000000000019E-4</v>
      </c>
      <c r="X45" s="1963"/>
      <c r="Y45" s="1964"/>
      <c r="Z45" s="788"/>
      <c r="AA45" s="1969">
        <f t="shared" si="54"/>
        <v>5.9999999999999991E-2</v>
      </c>
      <c r="AB45" s="1970"/>
      <c r="AC45" s="1971"/>
      <c r="AD45" s="1965">
        <f t="shared" si="53"/>
        <v>0.34889028277774814</v>
      </c>
      <c r="AE45" s="1966"/>
      <c r="AF45" s="1967"/>
      <c r="AG45" s="817"/>
      <c r="AH45" s="817"/>
      <c r="AI45" s="817"/>
      <c r="AJ45" s="817"/>
      <c r="AK45" s="817"/>
      <c r="AL45" s="817"/>
      <c r="AM45" s="817"/>
      <c r="AN45" s="867"/>
      <c r="AO45" s="1232"/>
      <c r="AP45" s="868"/>
      <c r="AQ45" s="868"/>
      <c r="AR45" s="868"/>
      <c r="AS45" s="868"/>
      <c r="AT45" s="868"/>
      <c r="AU45" s="868"/>
      <c r="AV45" s="869"/>
      <c r="AW45" s="998"/>
      <c r="AY45" s="1455"/>
      <c r="AZ45" s="1368"/>
      <c r="BA45" s="1368" t="s">
        <v>22</v>
      </c>
      <c r="BB45" s="1466">
        <f t="shared" ref="BB45:BI45" si="91" xml:space="preserve"> BB43 * (BB22 + IF(BB23="Y", 1,0))</f>
        <v>153600</v>
      </c>
      <c r="BC45" s="1466">
        <f t="shared" si="91"/>
        <v>224000</v>
      </c>
      <c r="BD45" s="1466">
        <f t="shared" si="91"/>
        <v>230400</v>
      </c>
      <c r="BE45" s="1524">
        <f t="shared" si="91"/>
        <v>1262800</v>
      </c>
      <c r="BF45" s="1466">
        <f t="shared" si="91"/>
        <v>120000</v>
      </c>
      <c r="BG45" s="1466">
        <f t="shared" si="91"/>
        <v>450000</v>
      </c>
      <c r="BH45" s="1466">
        <f t="shared" si="91"/>
        <v>288000</v>
      </c>
      <c r="BI45" s="1467">
        <f t="shared" si="91"/>
        <v>54000</v>
      </c>
      <c r="BK45" s="1617">
        <f t="shared" si="76"/>
        <v>27</v>
      </c>
      <c r="BL45" s="1614">
        <v>39</v>
      </c>
      <c r="BM45" s="1615">
        <f t="shared" si="77"/>
        <v>51</v>
      </c>
      <c r="BN45" s="1620">
        <f t="shared" si="78"/>
        <v>1230.5</v>
      </c>
      <c r="BO45" s="1616">
        <f t="shared" si="79"/>
        <v>375.0564</v>
      </c>
      <c r="BP45" s="1146">
        <f t="shared" si="80"/>
        <v>1</v>
      </c>
      <c r="BQ45" s="1533"/>
      <c r="BR45" s="1533"/>
      <c r="BS45" s="1595">
        <f t="shared" si="81"/>
        <v>27</v>
      </c>
      <c r="BT45" s="1596">
        <f t="shared" si="82"/>
        <v>39</v>
      </c>
      <c r="BU45" s="1597">
        <f t="shared" si="83"/>
        <v>51</v>
      </c>
      <c r="BV45" s="1598">
        <f t="shared" si="84"/>
        <v>1230.5</v>
      </c>
      <c r="BW45" s="1599">
        <f t="shared" si="85"/>
        <v>375.0564</v>
      </c>
      <c r="BX45" s="1584"/>
      <c r="BY45" s="1601">
        <f>'SMMR-Calcs'!H50</f>
        <v>28.692601129709573</v>
      </c>
      <c r="BZ45" s="1602">
        <f>'SMMR-Calcs'!K50</f>
        <v>10.580595874713522</v>
      </c>
      <c r="CA45" s="1602">
        <f>'SMMR-Calcs'!L50</f>
        <v>92.399420000000006</v>
      </c>
      <c r="CB45" s="1603">
        <f>'SMMR-Calcs'!M50</f>
        <v>73.290629999999993</v>
      </c>
      <c r="CC45" s="1604">
        <f>'SMMR-Calcs'!S50</f>
        <v>37.665620884800049</v>
      </c>
      <c r="CD45" s="1605">
        <f>'SMMR-Calcs'!R50</f>
        <v>6.7375693600279424E-2</v>
      </c>
      <c r="CE45" s="1606">
        <f>'SMMR-Calcs'!AS50</f>
        <v>-248.92185834745115</v>
      </c>
      <c r="CF45" s="1607">
        <f>'SMMR-Calcs'!AT50</f>
        <v>-2.5609244685951764E-2</v>
      </c>
      <c r="CG45" s="1608">
        <f>'SMMR-Calcs'!AV50</f>
        <v>-806.50682104574184</v>
      </c>
      <c r="CH45" s="1584"/>
      <c r="CI45" s="1737">
        <f>$BM$35</f>
        <v>59</v>
      </c>
      <c r="CJ45" s="1609"/>
      <c r="CK45" s="1609"/>
      <c r="CL45" s="1609"/>
      <c r="CM45" s="1609"/>
      <c r="CN45" s="1609"/>
      <c r="CO45" s="1609"/>
      <c r="CP45" s="1609"/>
      <c r="CQ45" s="1737">
        <f>$BM$35</f>
        <v>59</v>
      </c>
      <c r="CR45" s="1538"/>
      <c r="CS45" s="1538"/>
      <c r="CT45" s="1610">
        <f t="shared" si="86"/>
        <v>27</v>
      </c>
      <c r="CU45" s="1611">
        <f t="shared" si="87"/>
        <v>39</v>
      </c>
      <c r="CV45" s="1612">
        <f t="shared" si="88"/>
        <v>51</v>
      </c>
      <c r="CW45" s="19">
        <f t="shared" si="89"/>
        <v>1230.5</v>
      </c>
      <c r="CX45" s="1100">
        <f t="shared" si="90"/>
        <v>375.0564</v>
      </c>
      <c r="CY45" s="1584"/>
      <c r="CZ45" s="1601">
        <f>'WNTR-Calcs'!H50</f>
        <v>28.692601129709573</v>
      </c>
      <c r="DA45" s="1602">
        <f>'WNTR-Calcs'!K50</f>
        <v>18.370893812070282</v>
      </c>
      <c r="DB45" s="1602">
        <f>'WNTR-Calcs'!L50</f>
        <v>-22.600580000000001</v>
      </c>
      <c r="DC45" s="1603">
        <f>'WNTR-Calcs'!M50</f>
        <v>-21.70937</v>
      </c>
      <c r="DD45" s="1604">
        <f>'WNTR-Calcs'!S50</f>
        <v>-4.8700599633293056</v>
      </c>
      <c r="DE45" s="1605">
        <f>'WNTR-Calcs'!R50</f>
        <v>8.6951606473062104E-2</v>
      </c>
      <c r="DF45" s="1606">
        <f>'WNTR-Calcs'!AS50</f>
        <v>-328.68863938949909</v>
      </c>
      <c r="DG45" s="1607">
        <f>'WNTR-Calcs'!AT50</f>
        <v>-3.3815703640894965E-2</v>
      </c>
      <c r="DH45" s="1608">
        <f>'WNTR-Calcs'!AV50</f>
        <v>-1064.9511916219772</v>
      </c>
      <c r="DI45" s="1584"/>
      <c r="DJ45" s="1737">
        <f>$BM$35</f>
        <v>59</v>
      </c>
      <c r="DK45" s="1609"/>
      <c r="DL45" s="1609"/>
      <c r="DM45" s="1609"/>
      <c r="DN45" s="1609"/>
      <c r="DO45" s="1609"/>
      <c r="DP45" s="1609"/>
      <c r="DQ45" s="1609"/>
      <c r="DR45" s="1737">
        <f>$BM$35</f>
        <v>59</v>
      </c>
      <c r="DS45" s="1520"/>
    </row>
    <row r="46" spans="2:123" ht="18" customHeight="1" thickBot="1">
      <c r="B46" s="1265" t="s">
        <v>782</v>
      </c>
      <c r="C46" s="755"/>
      <c r="D46" s="755"/>
      <c r="E46" s="790"/>
      <c r="F46" s="1270"/>
      <c r="G46" s="1291" t="s">
        <v>809</v>
      </c>
      <c r="H46" s="755"/>
      <c r="I46" s="755"/>
      <c r="J46" s="755"/>
      <c r="K46" s="755"/>
      <c r="L46" s="755"/>
      <c r="M46" s="755"/>
      <c r="N46" s="755"/>
      <c r="O46" s="790"/>
      <c r="P46" s="2022">
        <v>2.19</v>
      </c>
      <c r="Q46" s="2005"/>
      <c r="R46" s="2004"/>
      <c r="S46" s="2005"/>
      <c r="T46" s="1962">
        <f t="shared" si="55"/>
        <v>2.1900000000000004E-4</v>
      </c>
      <c r="U46" s="1963"/>
      <c r="V46" s="1986"/>
      <c r="W46" s="1962">
        <f t="shared" si="56"/>
        <v>0</v>
      </c>
      <c r="X46" s="1963"/>
      <c r="Y46" s="1964"/>
      <c r="Z46" s="788"/>
      <c r="AA46" s="1969">
        <f t="shared" si="54"/>
        <v>6.4999999999999988E-2</v>
      </c>
      <c r="AB46" s="1970"/>
      <c r="AC46" s="1971"/>
      <c r="AD46" s="1965">
        <f t="shared" si="53"/>
        <v>0.37796447300922714</v>
      </c>
      <c r="AE46" s="1966"/>
      <c r="AF46" s="1967"/>
      <c r="AG46" s="817"/>
      <c r="AH46" s="817"/>
      <c r="AI46" s="817"/>
      <c r="AJ46" s="817"/>
      <c r="AK46" s="817"/>
      <c r="AL46" s="817"/>
      <c r="AM46" s="755"/>
      <c r="AN46" s="988"/>
      <c r="AO46" s="989"/>
      <c r="AP46" s="1229" t="s">
        <v>728</v>
      </c>
      <c r="AQ46" s="989"/>
      <c r="AR46" s="989"/>
      <c r="AS46" s="989"/>
      <c r="AT46" s="989"/>
      <c r="AU46" s="989"/>
      <c r="AV46" s="1230"/>
      <c r="AW46" s="788"/>
      <c r="AY46" s="1458"/>
      <c r="AZ46" s="1459"/>
      <c r="BA46" s="1459" t="s">
        <v>829</v>
      </c>
      <c r="BB46" s="1460">
        <f t="shared" ref="BB46:BI46" si="92">IF((BB19&gt;0),BB19,(2*(BB16+BB17)))</f>
        <v>982.39364688499484</v>
      </c>
      <c r="BC46" s="1460">
        <f t="shared" si="92"/>
        <v>838.87827770183674</v>
      </c>
      <c r="BD46" s="1460">
        <f t="shared" si="92"/>
        <v>800</v>
      </c>
      <c r="BE46" s="1460">
        <f t="shared" si="92"/>
        <v>720</v>
      </c>
      <c r="BF46" s="1460">
        <f t="shared" si="92"/>
        <v>640</v>
      </c>
      <c r="BG46" s="1460">
        <f t="shared" si="92"/>
        <v>475.59927922569437</v>
      </c>
      <c r="BH46" s="1460">
        <f t="shared" si="92"/>
        <v>475.59927922569437</v>
      </c>
      <c r="BI46" s="1461">
        <f t="shared" si="92"/>
        <v>475.59927922569437</v>
      </c>
      <c r="BK46" s="1617">
        <f t="shared" si="76"/>
        <v>26</v>
      </c>
      <c r="BL46" s="1614">
        <v>35</v>
      </c>
      <c r="BM46" s="1615">
        <f t="shared" si="77"/>
        <v>47</v>
      </c>
      <c r="BN46" s="1620">
        <f t="shared" si="78"/>
        <v>1176.5</v>
      </c>
      <c r="BO46" s="1616">
        <f t="shared" si="79"/>
        <v>358.59720000000004</v>
      </c>
      <c r="BP46" s="1146">
        <f t="shared" si="80"/>
        <v>1</v>
      </c>
      <c r="BQ46" s="1533"/>
      <c r="BR46" s="1533"/>
      <c r="BS46" s="1595">
        <f t="shared" si="81"/>
        <v>26</v>
      </c>
      <c r="BT46" s="1596">
        <f t="shared" si="82"/>
        <v>35</v>
      </c>
      <c r="BU46" s="1597">
        <f t="shared" si="83"/>
        <v>47</v>
      </c>
      <c r="BV46" s="1598">
        <f t="shared" si="84"/>
        <v>1176.5</v>
      </c>
      <c r="BW46" s="1599">
        <f t="shared" si="85"/>
        <v>358.59720000000004</v>
      </c>
      <c r="BX46" s="1584"/>
      <c r="BY46" s="1601">
        <f>'SMMR-Calcs'!H51</f>
        <v>28.749110889550455</v>
      </c>
      <c r="BZ46" s="1602">
        <f>'SMMR-Calcs'!K51</f>
        <v>10.168067226890756</v>
      </c>
      <c r="CA46" s="1602">
        <f>'SMMR-Calcs'!L51</f>
        <v>92.591660000000005</v>
      </c>
      <c r="CB46" s="1603">
        <f>'SMMR-Calcs'!M51</f>
        <v>73.416989999999998</v>
      </c>
      <c r="CC46" s="1604">
        <f>'SMMR-Calcs'!S51</f>
        <v>37.74343429540928</v>
      </c>
      <c r="CD46" s="1605">
        <f>'SMMR-Calcs'!R51</f>
        <v>6.7481957245922916E-2</v>
      </c>
      <c r="CE46" s="1606">
        <f>'SMMR-Calcs'!AS51</f>
        <v>-260.85075373187931</v>
      </c>
      <c r="CF46" s="1607">
        <f>'SMMR-Calcs'!AT51</f>
        <v>-2.6836497297518448E-2</v>
      </c>
      <c r="CG46" s="1608">
        <f>'SMMR-Calcs'!AV51</f>
        <v>-845.15644209128902</v>
      </c>
      <c r="CH46" s="1584"/>
      <c r="CI46" s="1737">
        <f>$BM$34</f>
        <v>61</v>
      </c>
      <c r="CJ46" s="1609"/>
      <c r="CK46" s="1609"/>
      <c r="CL46" s="1609"/>
      <c r="CM46" s="1609"/>
      <c r="CN46" s="1609"/>
      <c r="CO46" s="1609"/>
      <c r="CP46" s="1609"/>
      <c r="CQ46" s="1737">
        <f>$BM$34</f>
        <v>61</v>
      </c>
      <c r="CR46" s="1538"/>
      <c r="CS46" s="1538"/>
      <c r="CT46" s="1610">
        <f t="shared" si="86"/>
        <v>26</v>
      </c>
      <c r="CU46" s="1611">
        <f t="shared" si="87"/>
        <v>35</v>
      </c>
      <c r="CV46" s="1612">
        <f t="shared" si="88"/>
        <v>47</v>
      </c>
      <c r="CW46" s="19">
        <f t="shared" si="89"/>
        <v>1176.5</v>
      </c>
      <c r="CX46" s="1100">
        <f t="shared" si="90"/>
        <v>358.59720000000004</v>
      </c>
      <c r="CY46" s="1584"/>
      <c r="CZ46" s="1601">
        <f>'WNTR-Calcs'!H51</f>
        <v>28.749110889550455</v>
      </c>
      <c r="DA46" s="1602">
        <f>'WNTR-Calcs'!K51</f>
        <v>17.752100840336134</v>
      </c>
      <c r="DB46" s="1602">
        <f>'WNTR-Calcs'!L51</f>
        <v>-22.408339999999999</v>
      </c>
      <c r="DC46" s="1603">
        <f>'WNTR-Calcs'!M51</f>
        <v>-21.583010000000002</v>
      </c>
      <c r="DD46" s="1604">
        <f>'WNTR-Calcs'!S51</f>
        <v>-4.8372961152518839</v>
      </c>
      <c r="DE46" s="1605">
        <f>'WNTR-Calcs'!R51</f>
        <v>8.7086342264835581E-2</v>
      </c>
      <c r="DF46" s="1606">
        <f>'WNTR-Calcs'!AS51</f>
        <v>-268.60740904998841</v>
      </c>
      <c r="DG46" s="1607">
        <f>'WNTR-Calcs'!AT51</f>
        <v>-2.7634507103908273E-2</v>
      </c>
      <c r="DH46" s="1608">
        <f>'WNTR-Calcs'!AV51</f>
        <v>-870.28800532196249</v>
      </c>
      <c r="DI46" s="1584"/>
      <c r="DJ46" s="1737">
        <f>$BM$34</f>
        <v>61</v>
      </c>
      <c r="DK46" s="1609"/>
      <c r="DL46" s="1609"/>
      <c r="DM46" s="1609"/>
      <c r="DN46" s="1609"/>
      <c r="DO46" s="1609"/>
      <c r="DP46" s="1609"/>
      <c r="DQ46" s="1609"/>
      <c r="DR46" s="1737">
        <f>$BM$34</f>
        <v>61</v>
      </c>
      <c r="DS46" s="1520"/>
    </row>
    <row r="47" spans="2:123" ht="18" customHeight="1">
      <c r="B47" s="1265" t="s">
        <v>783</v>
      </c>
      <c r="C47" s="755"/>
      <c r="D47" s="755"/>
      <c r="E47" s="790"/>
      <c r="F47" s="1270"/>
      <c r="G47" s="1291" t="s">
        <v>810</v>
      </c>
      <c r="H47" s="755"/>
      <c r="I47" s="755"/>
      <c r="J47" s="755"/>
      <c r="K47" s="755"/>
      <c r="L47" s="755"/>
      <c r="M47" s="755"/>
      <c r="N47" s="755"/>
      <c r="O47" s="790"/>
      <c r="P47" s="2022">
        <v>1.34</v>
      </c>
      <c r="Q47" s="2005"/>
      <c r="R47" s="2004"/>
      <c r="S47" s="2005"/>
      <c r="T47" s="1962">
        <f t="shared" si="55"/>
        <v>1.3400000000000003E-4</v>
      </c>
      <c r="U47" s="1963"/>
      <c r="V47" s="1986"/>
      <c r="W47" s="1962">
        <f t="shared" si="56"/>
        <v>0</v>
      </c>
      <c r="X47" s="1963"/>
      <c r="Y47" s="1964"/>
      <c r="Z47" s="788"/>
      <c r="AA47" s="1969">
        <f t="shared" si="54"/>
        <v>6.9999999999999993E-2</v>
      </c>
      <c r="AB47" s="1970"/>
      <c r="AC47" s="1971"/>
      <c r="AD47" s="1965">
        <f t="shared" si="53"/>
        <v>0.4070386632407062</v>
      </c>
      <c r="AE47" s="1966"/>
      <c r="AF47" s="1967"/>
      <c r="AG47" s="871"/>
      <c r="AH47" s="872"/>
      <c r="AI47" s="872"/>
      <c r="AJ47" s="872"/>
      <c r="AK47" s="872"/>
      <c r="AL47" s="872"/>
      <c r="AM47" s="872"/>
      <c r="AN47" s="873"/>
      <c r="AO47" s="874"/>
      <c r="AP47" s="874"/>
      <c r="AQ47" s="874"/>
      <c r="AR47" s="874"/>
      <c r="AS47" s="874"/>
      <c r="AT47" s="874"/>
      <c r="AU47" s="874"/>
      <c r="AV47" s="875"/>
      <c r="AW47" s="1002"/>
      <c r="AY47" s="1468"/>
      <c r="AZ47" s="1374"/>
      <c r="BA47" s="1374" t="s">
        <v>23</v>
      </c>
      <c r="BB47" s="1464">
        <f t="shared" ref="BB47:BI47" si="93" xml:space="preserve"> BB46*BB20</f>
        <v>19647.872937699896</v>
      </c>
      <c r="BC47" s="1464">
        <f t="shared" si="93"/>
        <v>15099.808998633061</v>
      </c>
      <c r="BD47" s="1464">
        <f t="shared" si="93"/>
        <v>12000</v>
      </c>
      <c r="BE47" s="1464">
        <f t="shared" si="93"/>
        <v>9720</v>
      </c>
      <c r="BF47" s="1464">
        <f t="shared" si="93"/>
        <v>9600</v>
      </c>
      <c r="BG47" s="1464">
        <f t="shared" si="93"/>
        <v>4755.9927922569441</v>
      </c>
      <c r="BH47" s="1464">
        <f t="shared" si="93"/>
        <v>4755.9927922569441</v>
      </c>
      <c r="BI47" s="1465">
        <f t="shared" si="93"/>
        <v>7133.9891883854152</v>
      </c>
      <c r="BK47" s="1617">
        <f t="shared" si="76"/>
        <v>25</v>
      </c>
      <c r="BL47" s="1614">
        <v>31</v>
      </c>
      <c r="BM47" s="1615">
        <f t="shared" si="77"/>
        <v>43</v>
      </c>
      <c r="BN47" s="1620">
        <f t="shared" si="78"/>
        <v>1122.5</v>
      </c>
      <c r="BO47" s="1616">
        <f t="shared" si="79"/>
        <v>342.13800000000003</v>
      </c>
      <c r="BP47" s="1146">
        <f t="shared" si="80"/>
        <v>1</v>
      </c>
      <c r="BS47" s="1595">
        <f t="shared" si="81"/>
        <v>25</v>
      </c>
      <c r="BT47" s="1596">
        <f t="shared" si="82"/>
        <v>31</v>
      </c>
      <c r="BU47" s="1597">
        <f t="shared" si="83"/>
        <v>43</v>
      </c>
      <c r="BV47" s="1598">
        <f t="shared" si="84"/>
        <v>1122.5</v>
      </c>
      <c r="BW47" s="1599">
        <f t="shared" si="85"/>
        <v>342.13800000000003</v>
      </c>
      <c r="BX47" s="1584"/>
      <c r="BY47" s="1601">
        <f>'SMMR-Calcs'!H52</f>
        <v>28.805710734056326</v>
      </c>
      <c r="BZ47" s="1602">
        <f>'SMMR-Calcs'!K52</f>
        <v>9.7555385790679914</v>
      </c>
      <c r="CA47" s="1602">
        <f>'SMMR-Calcs'!L52</f>
        <v>92.783900000000003</v>
      </c>
      <c r="CB47" s="1603">
        <f>'SMMR-Calcs'!M52</f>
        <v>73.543350000000004</v>
      </c>
      <c r="CC47" s="1604">
        <f>'SMMR-Calcs'!S52</f>
        <v>37.821331395637813</v>
      </c>
      <c r="CD47" s="1605">
        <f>'SMMR-Calcs'!R52</f>
        <v>6.7588339424348456E-2</v>
      </c>
      <c r="CE47" s="1606">
        <f>'SMMR-Calcs'!AS52</f>
        <v>-272.52244332017818</v>
      </c>
      <c r="CF47" s="1607">
        <f>'SMMR-Calcs'!AT52</f>
        <v>-2.8037288407425739E-2</v>
      </c>
      <c r="CG47" s="1608">
        <f>'SMMR-Calcs'!AV52</f>
        <v>-882.97271635737729</v>
      </c>
      <c r="CH47" s="1584"/>
      <c r="CI47" s="1737">
        <f>$BM$33</f>
        <v>63</v>
      </c>
      <c r="CJ47" s="1585"/>
      <c r="CK47" s="1585"/>
      <c r="CL47" s="1585"/>
      <c r="CM47" s="1585"/>
      <c r="CN47" s="1585"/>
      <c r="CO47" s="1585"/>
      <c r="CP47" s="1585"/>
      <c r="CQ47" s="1737">
        <f>$BM$33</f>
        <v>63</v>
      </c>
      <c r="CR47" s="1538"/>
      <c r="CS47" s="1538"/>
      <c r="CT47" s="1610">
        <f t="shared" si="86"/>
        <v>25</v>
      </c>
      <c r="CU47" s="1611">
        <f t="shared" si="87"/>
        <v>31</v>
      </c>
      <c r="CV47" s="1612">
        <f t="shared" si="88"/>
        <v>43</v>
      </c>
      <c r="CW47" s="19">
        <f t="shared" si="89"/>
        <v>1122.5</v>
      </c>
      <c r="CX47" s="1100">
        <f t="shared" si="90"/>
        <v>342.13800000000003</v>
      </c>
      <c r="CY47" s="1584"/>
      <c r="CZ47" s="1601">
        <f>'WNTR-Calcs'!H52</f>
        <v>28.805710734056326</v>
      </c>
      <c r="DA47" s="1602">
        <f>'WNTR-Calcs'!K52</f>
        <v>17.133307868601985</v>
      </c>
      <c r="DB47" s="1602">
        <f>'WNTR-Calcs'!L52</f>
        <v>-22.216100000000001</v>
      </c>
      <c r="DC47" s="1603">
        <f>'WNTR-Calcs'!M52</f>
        <v>-21.45665</v>
      </c>
      <c r="DD47" s="1604">
        <f>'WNTR-Calcs'!S52</f>
        <v>-4.8045293202911301</v>
      </c>
      <c r="DE47" s="1605">
        <f>'WNTR-Calcs'!R52</f>
        <v>8.7221238822050406E-2</v>
      </c>
      <c r="DF47" s="1606">
        <f>'WNTR-Calcs'!AS52</f>
        <v>-190.82274485219705</v>
      </c>
      <c r="DG47" s="1607">
        <f>'WNTR-Calcs'!AT52</f>
        <v>-1.9631969634999698E-2</v>
      </c>
      <c r="DH47" s="1608">
        <f>'WNTR-Calcs'!AV52</f>
        <v>-618.26569332111853</v>
      </c>
      <c r="DI47" s="1584"/>
      <c r="DJ47" s="1737">
        <f>$BM$33</f>
        <v>63</v>
      </c>
      <c r="DK47" s="1585"/>
      <c r="DL47" s="1585"/>
      <c r="DM47" s="1585"/>
      <c r="DN47" s="1585"/>
      <c r="DO47" s="1585"/>
      <c r="DP47" s="1585"/>
      <c r="DQ47" s="1585"/>
      <c r="DR47" s="1737">
        <f>$BM$33</f>
        <v>63</v>
      </c>
      <c r="DS47" s="1520"/>
    </row>
    <row r="48" spans="2:123" ht="18" customHeight="1">
      <c r="B48" s="1266" t="s">
        <v>765</v>
      </c>
      <c r="C48" s="755"/>
      <c r="D48" s="755"/>
      <c r="E48" s="790"/>
      <c r="F48" s="1270"/>
      <c r="G48" s="1290" t="s">
        <v>799</v>
      </c>
      <c r="H48" s="755"/>
      <c r="I48" s="755"/>
      <c r="J48" s="755"/>
      <c r="K48" s="755"/>
      <c r="L48" s="755"/>
      <c r="M48" s="755"/>
      <c r="N48" s="755"/>
      <c r="O48" s="790"/>
      <c r="P48" s="2022">
        <v>0.5</v>
      </c>
      <c r="Q48" s="2005"/>
      <c r="R48" s="2004">
        <v>1.8</v>
      </c>
      <c r="S48" s="2005"/>
      <c r="T48" s="1962">
        <f t="shared" si="55"/>
        <v>5.0000000000000009E-5</v>
      </c>
      <c r="U48" s="1963"/>
      <c r="V48" s="1986"/>
      <c r="W48" s="1962">
        <f t="shared" si="56"/>
        <v>1.8000000000000004E-4</v>
      </c>
      <c r="X48" s="1963"/>
      <c r="Y48" s="1964"/>
      <c r="Z48" s="788"/>
      <c r="AA48" s="1969">
        <f t="shared" si="54"/>
        <v>7.4999999999999997E-2</v>
      </c>
      <c r="AB48" s="1970"/>
      <c r="AC48" s="1971"/>
      <c r="AD48" s="1965">
        <f t="shared" si="53"/>
        <v>0.4361128534721852</v>
      </c>
      <c r="AE48" s="1966"/>
      <c r="AF48" s="1967"/>
      <c r="AG48" s="755"/>
      <c r="AH48" s="790"/>
      <c r="AI48" s="790"/>
      <c r="AJ48" s="790"/>
      <c r="AK48" s="790"/>
      <c r="AL48" s="790"/>
      <c r="AM48" s="797"/>
      <c r="AN48" s="877"/>
      <c r="AO48" s="878"/>
      <c r="AP48" s="878"/>
      <c r="AQ48" s="878"/>
      <c r="AR48" s="878"/>
      <c r="AS48" s="878"/>
      <c r="AT48" s="878"/>
      <c r="AU48" s="878"/>
      <c r="AV48" s="879"/>
      <c r="AW48" s="795"/>
      <c r="AY48" s="1469"/>
      <c r="AZ48" s="1470"/>
      <c r="BA48" s="1379" t="s">
        <v>855</v>
      </c>
      <c r="BB48" s="1471">
        <f t="shared" ref="BB48:BI48" si="94">BB20*$BE$12</f>
        <v>620</v>
      </c>
      <c r="BC48" s="1471">
        <f t="shared" si="94"/>
        <v>558</v>
      </c>
      <c r="BD48" s="1471">
        <f t="shared" si="94"/>
        <v>465</v>
      </c>
      <c r="BE48" s="1471">
        <f t="shared" si="94"/>
        <v>418.5</v>
      </c>
      <c r="BF48" s="1471">
        <f t="shared" si="94"/>
        <v>465</v>
      </c>
      <c r="BG48" s="1471">
        <f t="shared" si="94"/>
        <v>310</v>
      </c>
      <c r="BH48" s="1471">
        <f t="shared" si="94"/>
        <v>310</v>
      </c>
      <c r="BI48" s="1472">
        <f t="shared" si="94"/>
        <v>465</v>
      </c>
      <c r="BK48" s="1617">
        <f t="shared" si="76"/>
        <v>24</v>
      </c>
      <c r="BL48" s="1614">
        <v>28</v>
      </c>
      <c r="BM48" s="1615">
        <f t="shared" si="77"/>
        <v>40</v>
      </c>
      <c r="BN48" s="1620">
        <f t="shared" si="78"/>
        <v>1082</v>
      </c>
      <c r="BO48" s="1616">
        <f t="shared" si="79"/>
        <v>329.79360000000003</v>
      </c>
      <c r="BP48" s="1146">
        <f t="shared" si="80"/>
        <v>1</v>
      </c>
      <c r="BS48" s="1595">
        <f t="shared" si="81"/>
        <v>24</v>
      </c>
      <c r="BT48" s="1596">
        <f t="shared" si="82"/>
        <v>28</v>
      </c>
      <c r="BU48" s="1597">
        <f t="shared" si="83"/>
        <v>40</v>
      </c>
      <c r="BV48" s="1598">
        <f t="shared" si="84"/>
        <v>1082</v>
      </c>
      <c r="BW48" s="1599">
        <f t="shared" si="85"/>
        <v>329.79360000000003</v>
      </c>
      <c r="BX48" s="1584"/>
      <c r="BY48" s="1601">
        <f>'SMMR-Calcs'!H53</f>
        <v>28.848219801557441</v>
      </c>
      <c r="BZ48" s="1602">
        <f>'SMMR-Calcs'!K53</f>
        <v>9.4461420932009155</v>
      </c>
      <c r="CA48" s="1602">
        <f>'SMMR-Calcs'!L53</f>
        <v>92.928079999999994</v>
      </c>
      <c r="CB48" s="1603">
        <f>'SMMR-Calcs'!M53</f>
        <v>73.638120000000001</v>
      </c>
      <c r="CC48" s="1604">
        <f>'SMMR-Calcs'!S53</f>
        <v>37.879809199019043</v>
      </c>
      <c r="CD48" s="1605">
        <f>'SMMR-Calcs'!R53</f>
        <v>6.7668203879899941E-2</v>
      </c>
      <c r="CE48" s="1606">
        <f>'SMMR-Calcs'!AS53</f>
        <v>-281.12671728978842</v>
      </c>
      <c r="CF48" s="1607">
        <f>'SMMR-Calcs'!AT53</f>
        <v>-2.8922501778784818E-2</v>
      </c>
      <c r="CG48" s="1608">
        <f>'SMMR-Calcs'!AV53</f>
        <v>-910.8505640189145</v>
      </c>
      <c r="CI48" s="1737">
        <f>$BM$32</f>
        <v>65</v>
      </c>
      <c r="CQ48" s="1737">
        <f>$BM$32</f>
        <v>65</v>
      </c>
      <c r="CT48" s="1610">
        <f t="shared" si="86"/>
        <v>24</v>
      </c>
      <c r="CU48" s="1611">
        <f t="shared" si="87"/>
        <v>28</v>
      </c>
      <c r="CV48" s="1612">
        <f t="shared" si="88"/>
        <v>40</v>
      </c>
      <c r="CW48" s="19">
        <f t="shared" si="89"/>
        <v>1082</v>
      </c>
      <c r="CX48" s="1100">
        <f t="shared" si="90"/>
        <v>329.79360000000003</v>
      </c>
      <c r="CY48" s="1584"/>
      <c r="CZ48" s="1601">
        <f>'WNTR-Calcs'!H53</f>
        <v>28.848219801557441</v>
      </c>
      <c r="DA48" s="1602">
        <f>'WNTR-Calcs'!K53</f>
        <v>16.669213139801375</v>
      </c>
      <c r="DB48" s="1602">
        <f>'WNTR-Calcs'!L53</f>
        <v>-22.071919999999999</v>
      </c>
      <c r="DC48" s="1603">
        <f>'WNTR-Calcs'!M53</f>
        <v>-21.361879999999999</v>
      </c>
      <c r="DD48" s="1604">
        <f>'WNTR-Calcs'!S53</f>
        <v>-4.7799522782773121</v>
      </c>
      <c r="DE48" s="1605">
        <f>'WNTR-Calcs'!R53</f>
        <v>8.7322516821187787E-2</v>
      </c>
      <c r="DF48" s="1606">
        <f>'WNTR-Calcs'!AS53</f>
        <v>-98.534611860297289</v>
      </c>
      <c r="DG48" s="1607">
        <f>'WNTR-Calcs'!AT53</f>
        <v>-1.0137305746944165E-2</v>
      </c>
      <c r="DH48" s="1608">
        <f>'WNTR-Calcs'!AV53</f>
        <v>-319.25214242736325</v>
      </c>
      <c r="DI48" s="1647"/>
      <c r="DJ48" s="1737">
        <f>$BM$32</f>
        <v>65</v>
      </c>
      <c r="DK48" s="737"/>
      <c r="DL48" s="737"/>
      <c r="DR48" s="1737">
        <f>$BM$32</f>
        <v>65</v>
      </c>
      <c r="DS48" s="1520"/>
    </row>
    <row r="49" spans="2:123" ht="18" customHeight="1">
      <c r="B49" s="1266" t="s">
        <v>766</v>
      </c>
      <c r="C49" s="755"/>
      <c r="D49" s="755"/>
      <c r="E49" s="790"/>
      <c r="F49" s="1270"/>
      <c r="G49" s="1290" t="s">
        <v>800</v>
      </c>
      <c r="H49" s="755"/>
      <c r="I49" s="755"/>
      <c r="J49" s="755"/>
      <c r="K49" s="755"/>
      <c r="L49" s="755"/>
      <c r="M49" s="755"/>
      <c r="N49" s="755"/>
      <c r="O49" s="790"/>
      <c r="P49" s="2022">
        <v>1.2</v>
      </c>
      <c r="Q49" s="2005"/>
      <c r="R49" s="2004">
        <v>1.65</v>
      </c>
      <c r="S49" s="2005"/>
      <c r="T49" s="1962">
        <f t="shared" si="55"/>
        <v>1.2000000000000002E-4</v>
      </c>
      <c r="U49" s="1963"/>
      <c r="V49" s="1986"/>
      <c r="W49" s="1962">
        <f t="shared" si="56"/>
        <v>1.6500000000000003E-4</v>
      </c>
      <c r="X49" s="1963"/>
      <c r="Y49" s="1964"/>
      <c r="Z49" s="788"/>
      <c r="AA49" s="1969">
        <f t="shared" si="54"/>
        <v>0.08</v>
      </c>
      <c r="AB49" s="1970"/>
      <c r="AC49" s="1971"/>
      <c r="AD49" s="1965">
        <f t="shared" si="53"/>
        <v>0.46518704370366426</v>
      </c>
      <c r="AE49" s="1966"/>
      <c r="AF49" s="1967"/>
      <c r="AG49" s="802"/>
      <c r="AH49" s="797"/>
      <c r="AI49" s="797"/>
      <c r="AJ49" s="797"/>
      <c r="AK49" s="797"/>
      <c r="AL49" s="797"/>
      <c r="AM49" s="735"/>
      <c r="AN49" s="742"/>
      <c r="AO49" s="743"/>
      <c r="AP49" s="743"/>
      <c r="AQ49" s="743"/>
      <c r="AR49" s="743"/>
      <c r="AS49" s="743"/>
      <c r="AT49" s="743"/>
      <c r="AU49" s="743"/>
      <c r="AV49" s="744"/>
      <c r="AW49" s="732"/>
      <c r="AY49" s="1473"/>
      <c r="AZ49" s="1474"/>
      <c r="BA49" s="1475" t="s">
        <v>852</v>
      </c>
      <c r="BB49" s="1476">
        <f t="shared" ref="BB49:BI49" si="95" xml:space="preserve"> IF((BB27&gt;0), (BB48*BB27/100), (BB24*BB25*BB26))</f>
        <v>372</v>
      </c>
      <c r="BC49" s="1476">
        <f t="shared" si="95"/>
        <v>279</v>
      </c>
      <c r="BD49" s="1476">
        <f t="shared" si="95"/>
        <v>302.25</v>
      </c>
      <c r="BE49" s="1476">
        <f t="shared" si="95"/>
        <v>272.02499999999998</v>
      </c>
      <c r="BF49" s="1476">
        <f t="shared" si="95"/>
        <v>279</v>
      </c>
      <c r="BG49" s="1476">
        <f t="shared" si="95"/>
        <v>139.5</v>
      </c>
      <c r="BH49" s="1476">
        <f t="shared" si="95"/>
        <v>139.5</v>
      </c>
      <c r="BI49" s="1477">
        <f t="shared" si="95"/>
        <v>279</v>
      </c>
      <c r="BK49" s="1617">
        <f t="shared" si="76"/>
        <v>23</v>
      </c>
      <c r="BL49" s="1614">
        <v>26</v>
      </c>
      <c r="BM49" s="1615">
        <f t="shared" si="77"/>
        <v>38</v>
      </c>
      <c r="BN49" s="1620">
        <f t="shared" si="78"/>
        <v>1055</v>
      </c>
      <c r="BO49" s="1616">
        <f t="shared" si="79"/>
        <v>321.56400000000002</v>
      </c>
      <c r="BP49" s="1146">
        <f t="shared" si="80"/>
        <v>1</v>
      </c>
      <c r="BS49" s="1595">
        <f t="shared" si="81"/>
        <v>23</v>
      </c>
      <c r="BT49" s="1596">
        <f t="shared" si="82"/>
        <v>26</v>
      </c>
      <c r="BU49" s="1597">
        <f t="shared" si="83"/>
        <v>38</v>
      </c>
      <c r="BV49" s="1598">
        <f t="shared" si="84"/>
        <v>1055</v>
      </c>
      <c r="BW49" s="1599">
        <f t="shared" si="85"/>
        <v>321.56400000000002</v>
      </c>
      <c r="BX49" s="1584"/>
      <c r="BY49" s="1601">
        <f>'SMMR-Calcs'!H54</f>
        <v>28.876587388562047</v>
      </c>
      <c r="BZ49" s="1602">
        <f>'SMMR-Calcs'!K54</f>
        <v>9.2398777692895351</v>
      </c>
      <c r="CA49" s="1602">
        <f>'SMMR-Calcs'!L54</f>
        <v>93.024199999999993</v>
      </c>
      <c r="CB49" s="1603">
        <f>'SMMR-Calcs'!M54</f>
        <v>73.701300000000003</v>
      </c>
      <c r="CC49" s="1604">
        <f>'SMMR-Calcs'!S54</f>
        <v>37.918820603542507</v>
      </c>
      <c r="CD49" s="1605">
        <f>'SMMR-Calcs'!R54</f>
        <v>6.7721483921698439E-2</v>
      </c>
      <c r="CE49" s="1606">
        <f>'SMMR-Calcs'!AS54</f>
        <v>-286.79813554259056</v>
      </c>
      <c r="CF49" s="1607">
        <f>'SMMR-Calcs'!AT54</f>
        <v>-2.9505981022900262E-2</v>
      </c>
      <c r="CG49" s="1608">
        <f>'SMMR-Calcs'!AV54</f>
        <v>-929.22595915799354</v>
      </c>
      <c r="CI49" s="1737">
        <f>$BM$31</f>
        <v>68</v>
      </c>
      <c r="CQ49" s="1737">
        <f>$BM$31</f>
        <v>68</v>
      </c>
      <c r="CT49" s="1610">
        <f t="shared" si="86"/>
        <v>23</v>
      </c>
      <c r="CU49" s="1611">
        <f t="shared" si="87"/>
        <v>26</v>
      </c>
      <c r="CV49" s="1612">
        <f t="shared" si="88"/>
        <v>38</v>
      </c>
      <c r="CW49" s="19">
        <f t="shared" si="89"/>
        <v>1055</v>
      </c>
      <c r="CX49" s="1100">
        <f t="shared" si="90"/>
        <v>321.56400000000002</v>
      </c>
      <c r="CY49" s="1584"/>
      <c r="CZ49" s="1601">
        <f>'WNTR-Calcs'!H54</f>
        <v>28.876587388562047</v>
      </c>
      <c r="DA49" s="1602">
        <f>'WNTR-Calcs'!K54</f>
        <v>16.359816653934303</v>
      </c>
      <c r="DB49" s="1602">
        <f>'WNTR-Calcs'!L54</f>
        <v>-21.9758</v>
      </c>
      <c r="DC49" s="1603">
        <f>'WNTR-Calcs'!M54</f>
        <v>-21.2987</v>
      </c>
      <c r="DD49" s="1604">
        <f>'WNTR-Calcs'!S54</f>
        <v>-4.7635666523885778</v>
      </c>
      <c r="DE49" s="1605">
        <f>'WNTR-Calcs'!R54</f>
        <v>8.7390085794803868E-2</v>
      </c>
      <c r="DF49" s="1606">
        <f>'WNTR-Calcs'!AS54</f>
        <v>89.705043319821229</v>
      </c>
      <c r="DG49" s="1607">
        <f>'WNTR-Calcs'!AT54</f>
        <v>9.2289139217923075E-3</v>
      </c>
      <c r="DH49" s="1608">
        <f>'WNTR-Calcs'!AV54</f>
        <v>290.64434035622077</v>
      </c>
      <c r="DI49" s="1647"/>
      <c r="DJ49" s="1737">
        <f>$BM$31</f>
        <v>68</v>
      </c>
      <c r="DK49" s="737"/>
      <c r="DL49" s="737"/>
      <c r="DR49" s="1737">
        <f>$BM$31</f>
        <v>68</v>
      </c>
      <c r="DS49" s="1520"/>
    </row>
    <row r="50" spans="2:123" ht="18" customHeight="1" thickBot="1">
      <c r="B50" s="1265" t="s">
        <v>836</v>
      </c>
      <c r="C50" s="755"/>
      <c r="D50" s="755"/>
      <c r="E50" s="790"/>
      <c r="F50" s="1270"/>
      <c r="G50" s="1291" t="s">
        <v>839</v>
      </c>
      <c r="H50" s="755"/>
      <c r="I50" s="755"/>
      <c r="J50" s="755"/>
      <c r="K50" s="755"/>
      <c r="L50" s="755"/>
      <c r="M50" s="755"/>
      <c r="N50" s="755"/>
      <c r="O50" s="790"/>
      <c r="P50" s="2022">
        <v>5.55</v>
      </c>
      <c r="Q50" s="2005"/>
      <c r="R50" s="2004"/>
      <c r="S50" s="2005"/>
      <c r="T50" s="1962">
        <f t="shared" si="55"/>
        <v>5.5500000000000005E-4</v>
      </c>
      <c r="U50" s="1963"/>
      <c r="V50" s="1986"/>
      <c r="W50" s="1962">
        <f t="shared" si="56"/>
        <v>0</v>
      </c>
      <c r="X50" s="1963"/>
      <c r="Y50" s="1964"/>
      <c r="Z50" s="788"/>
      <c r="AA50" s="1969">
        <f t="shared" si="54"/>
        <v>8.5000000000000006E-2</v>
      </c>
      <c r="AB50" s="1970"/>
      <c r="AC50" s="1971"/>
      <c r="AD50" s="1965">
        <f t="shared" si="53"/>
        <v>0.49426123393514332</v>
      </c>
      <c r="AE50" s="1966"/>
      <c r="AF50" s="1967"/>
      <c r="AG50" s="817"/>
      <c r="AH50" s="817"/>
      <c r="AI50" s="817"/>
      <c r="AJ50" s="817"/>
      <c r="AK50" s="817"/>
      <c r="AL50" s="817"/>
      <c r="AM50" s="1740"/>
      <c r="AN50" s="1216"/>
      <c r="AO50" s="743"/>
      <c r="AP50" s="1217"/>
      <c r="AQ50" s="1217"/>
      <c r="AR50" s="1217"/>
      <c r="AS50" s="1217"/>
      <c r="AT50" s="1217"/>
      <c r="AU50" s="1217"/>
      <c r="AV50" s="1218"/>
      <c r="AW50" s="998"/>
      <c r="AY50" s="1478"/>
      <c r="AZ50" s="1479"/>
      <c r="BA50" s="1480" t="s">
        <v>702</v>
      </c>
      <c r="BB50" s="1481">
        <f t="shared" ref="BB50:BI50" si="96" xml:space="preserve"> IF((BB27&gt;0), BB27, (100*BB49/BB48))</f>
        <v>60</v>
      </c>
      <c r="BC50" s="1481">
        <f t="shared" si="96"/>
        <v>50</v>
      </c>
      <c r="BD50" s="1481">
        <f t="shared" si="96"/>
        <v>65</v>
      </c>
      <c r="BE50" s="1481">
        <f t="shared" si="96"/>
        <v>65</v>
      </c>
      <c r="BF50" s="1481">
        <f t="shared" si="96"/>
        <v>60</v>
      </c>
      <c r="BG50" s="1481">
        <f t="shared" si="96"/>
        <v>45</v>
      </c>
      <c r="BH50" s="1481">
        <f t="shared" si="96"/>
        <v>45</v>
      </c>
      <c r="BI50" s="1482">
        <f t="shared" si="96"/>
        <v>60</v>
      </c>
      <c r="BK50" s="1617">
        <f t="shared" si="76"/>
        <v>22</v>
      </c>
      <c r="BL50" s="1614">
        <v>24</v>
      </c>
      <c r="BM50" s="1615">
        <f t="shared" si="77"/>
        <v>36</v>
      </c>
      <c r="BN50" s="1620">
        <f t="shared" si="78"/>
        <v>1028</v>
      </c>
      <c r="BO50" s="1616">
        <f t="shared" si="79"/>
        <v>313.33440000000002</v>
      </c>
      <c r="BP50" s="1146">
        <f t="shared" si="80"/>
        <v>1</v>
      </c>
      <c r="BS50" s="1595">
        <f t="shared" si="81"/>
        <v>22</v>
      </c>
      <c r="BT50" s="1596">
        <f t="shared" si="82"/>
        <v>24</v>
      </c>
      <c r="BU50" s="1597">
        <f t="shared" si="83"/>
        <v>36</v>
      </c>
      <c r="BV50" s="1598">
        <f t="shared" si="84"/>
        <v>1028</v>
      </c>
      <c r="BW50" s="1599">
        <f t="shared" si="85"/>
        <v>313.33440000000002</v>
      </c>
      <c r="BX50" s="1584"/>
      <c r="BY50" s="1601">
        <f>'SMMR-Calcs'!H55</f>
        <v>28.904977558538004</v>
      </c>
      <c r="BZ50" s="1602">
        <f>'SMMR-Calcs'!K55</f>
        <v>9.0336134453781511</v>
      </c>
      <c r="CA50" s="1602">
        <f>'SMMR-Calcs'!L55</f>
        <v>93.120320000000007</v>
      </c>
      <c r="CB50" s="1603">
        <f>'SMMR-Calcs'!M55</f>
        <v>73.764480000000006</v>
      </c>
      <c r="CC50" s="1604">
        <f>'SMMR-Calcs'!S55</f>
        <v>37.957852983677498</v>
      </c>
      <c r="CD50" s="1605">
        <f>'SMMR-Calcs'!R55</f>
        <v>6.7774793629010649E-2</v>
      </c>
      <c r="CE50" s="1606">
        <f>'SMMR-Calcs'!AS55</f>
        <v>-292.42126322329341</v>
      </c>
      <c r="CF50" s="1607">
        <f>'SMMR-Calcs'!AT55</f>
        <v>-3.0084492101161875E-2</v>
      </c>
      <c r="CG50" s="1608">
        <f>'SMMR-Calcs'!AV55</f>
        <v>-947.44489284347071</v>
      </c>
      <c r="CI50" s="1737">
        <f>$BM$30</f>
        <v>71</v>
      </c>
      <c r="CQ50" s="1737">
        <f>$BM$30</f>
        <v>71</v>
      </c>
      <c r="CT50" s="1610">
        <f t="shared" si="86"/>
        <v>22</v>
      </c>
      <c r="CU50" s="1611">
        <f t="shared" si="87"/>
        <v>24</v>
      </c>
      <c r="CV50" s="1612">
        <f t="shared" si="88"/>
        <v>36</v>
      </c>
      <c r="CW50" s="19">
        <f t="shared" si="89"/>
        <v>1028</v>
      </c>
      <c r="CX50" s="1100">
        <f t="shared" si="90"/>
        <v>313.33440000000002</v>
      </c>
      <c r="CY50" s="1584"/>
      <c r="CZ50" s="1601">
        <f>'WNTR-Calcs'!H55</f>
        <v>28.904977558538004</v>
      </c>
      <c r="DA50" s="1602">
        <f>'WNTR-Calcs'!K55</f>
        <v>16.050420168067227</v>
      </c>
      <c r="DB50" s="1602">
        <f>'WNTR-Calcs'!L55</f>
        <v>-21.87968</v>
      </c>
      <c r="DC50" s="1603">
        <f>'WNTR-Calcs'!M55</f>
        <v>-21.235520000000001</v>
      </c>
      <c r="DD50" s="1604">
        <f>'WNTR-Calcs'!S55</f>
        <v>-4.7471802786354145</v>
      </c>
      <c r="DE50" s="1605">
        <f>'WNTR-Calcs'!R55</f>
        <v>8.7457695033577088E-2</v>
      </c>
      <c r="DF50" s="1606">
        <f>'WNTR-Calcs'!AS55</f>
        <v>160.51680355053631</v>
      </c>
      <c r="DG50" s="1607">
        <f>'WNTR-Calcs'!AT55</f>
        <v>1.6514074439355587E-2</v>
      </c>
      <c r="DH50" s="1608">
        <f>'WNTR-Calcs'!AV55</f>
        <v>520.07444350373771</v>
      </c>
      <c r="DI50" s="1647"/>
      <c r="DJ50" s="1737">
        <f>$BM$30</f>
        <v>71</v>
      </c>
      <c r="DK50" s="737"/>
      <c r="DL50" s="737"/>
      <c r="DR50" s="1737">
        <f>$BM$30</f>
        <v>71</v>
      </c>
      <c r="DS50" s="1520"/>
    </row>
    <row r="51" spans="2:123" ht="18" customHeight="1">
      <c r="B51" s="1265" t="s">
        <v>837</v>
      </c>
      <c r="C51" s="755"/>
      <c r="D51" s="755"/>
      <c r="E51" s="790"/>
      <c r="F51" s="1270"/>
      <c r="G51" s="1291" t="s">
        <v>838</v>
      </c>
      <c r="H51" s="755"/>
      <c r="I51" s="755"/>
      <c r="J51" s="755"/>
      <c r="K51" s="755"/>
      <c r="L51" s="755"/>
      <c r="M51" s="755"/>
      <c r="N51" s="755"/>
      <c r="O51" s="790"/>
      <c r="P51" s="2022">
        <v>0.15</v>
      </c>
      <c r="Q51" s="2005"/>
      <c r="R51" s="2004"/>
      <c r="S51" s="2005"/>
      <c r="T51" s="1962">
        <f t="shared" si="55"/>
        <v>1.5000000000000002E-5</v>
      </c>
      <c r="U51" s="1963"/>
      <c r="V51" s="1986"/>
      <c r="W51" s="1962">
        <f t="shared" si="56"/>
        <v>0</v>
      </c>
      <c r="X51" s="1963"/>
      <c r="Y51" s="1964"/>
      <c r="Z51" s="788"/>
      <c r="AA51" s="1969">
        <f t="shared" si="54"/>
        <v>9.0000000000000011E-2</v>
      </c>
      <c r="AB51" s="1970"/>
      <c r="AC51" s="1971"/>
      <c r="AD51" s="1965">
        <f t="shared" si="53"/>
        <v>0.52333542416662238</v>
      </c>
      <c r="AE51" s="1966"/>
      <c r="AF51" s="1967"/>
      <c r="AG51" s="755"/>
      <c r="AH51" s="755"/>
      <c r="AI51" s="755"/>
      <c r="AJ51" s="755"/>
      <c r="AK51" s="755"/>
      <c r="AL51" s="755"/>
      <c r="AM51" s="784"/>
      <c r="AN51" s="1216"/>
      <c r="AO51" s="743"/>
      <c r="AP51" s="1217"/>
      <c r="AQ51" s="1217"/>
      <c r="AR51" s="1217"/>
      <c r="AS51" s="1217"/>
      <c r="AT51" s="1217"/>
      <c r="AU51" s="1217"/>
      <c r="AV51" s="1218"/>
      <c r="AW51" s="1002"/>
      <c r="AY51" s="1483"/>
      <c r="AZ51" s="1484"/>
      <c r="BA51" s="1374" t="s">
        <v>856</v>
      </c>
      <c r="BB51" s="1485">
        <f t="shared" ref="BB51:BI51" si="97" xml:space="preserve"> BB20 * BB46</f>
        <v>19647.872937699896</v>
      </c>
      <c r="BC51" s="1485">
        <f t="shared" si="97"/>
        <v>15099.808998633061</v>
      </c>
      <c r="BD51" s="1485">
        <f t="shared" si="97"/>
        <v>12000</v>
      </c>
      <c r="BE51" s="1485">
        <f t="shared" si="97"/>
        <v>9720</v>
      </c>
      <c r="BF51" s="1485">
        <f t="shared" si="97"/>
        <v>9600</v>
      </c>
      <c r="BG51" s="1485">
        <f t="shared" si="97"/>
        <v>4755.9927922569441</v>
      </c>
      <c r="BH51" s="1485">
        <f t="shared" si="97"/>
        <v>4755.9927922569441</v>
      </c>
      <c r="BI51" s="1486">
        <f t="shared" si="97"/>
        <v>7133.9891883854152</v>
      </c>
      <c r="BK51" s="1617">
        <f t="shared" si="76"/>
        <v>21</v>
      </c>
      <c r="BL51" s="1614">
        <f t="shared" ref="BL51:BL56" si="98">BL52+3</f>
        <v>25</v>
      </c>
      <c r="BM51" s="1615">
        <f t="shared" si="77"/>
        <v>37</v>
      </c>
      <c r="BN51" s="1620">
        <f t="shared" si="78"/>
        <v>1041.5</v>
      </c>
      <c r="BO51" s="1616">
        <f t="shared" si="79"/>
        <v>317.44920000000002</v>
      </c>
      <c r="BP51" s="1146">
        <f t="shared" si="80"/>
        <v>1</v>
      </c>
      <c r="BS51" s="1595">
        <f t="shared" si="81"/>
        <v>21</v>
      </c>
      <c r="BT51" s="1596">
        <f t="shared" si="82"/>
        <v>25</v>
      </c>
      <c r="BU51" s="1597">
        <f t="shared" si="83"/>
        <v>37</v>
      </c>
      <c r="BV51" s="1598">
        <f t="shared" si="84"/>
        <v>1041.5</v>
      </c>
      <c r="BW51" s="1599">
        <f t="shared" si="85"/>
        <v>317.44920000000002</v>
      </c>
      <c r="BX51" s="1584"/>
      <c r="BY51" s="1601">
        <f>'SMMR-Calcs'!H56</f>
        <v>28.890779649819315</v>
      </c>
      <c r="BZ51" s="1602">
        <f>'SMMR-Calcs'!K56</f>
        <v>9.1367456073338431</v>
      </c>
      <c r="CA51" s="1602">
        <f>'SMMR-Calcs'!L56</f>
        <v>93.07226</v>
      </c>
      <c r="CB51" s="1603">
        <f>'SMMR-Calcs'!M56</f>
        <v>73.732889999999998</v>
      </c>
      <c r="CC51" s="1604">
        <f>'SMMR-Calcs'!S56</f>
        <v>37.938334170919582</v>
      </c>
      <c r="CD51" s="1605">
        <f>'SMMR-Calcs'!R56</f>
        <v>6.7748135066717216E-2</v>
      </c>
      <c r="CE51" s="1606">
        <f>'SMMR-Calcs'!AS56</f>
        <v>-289.61555934519623</v>
      </c>
      <c r="CF51" s="1607">
        <f>'SMMR-Calcs'!AT56</f>
        <v>-2.9795839438806197E-2</v>
      </c>
      <c r="CG51" s="1608">
        <f>'SMMR-Calcs'!AV56</f>
        <v>-938.35441227843592</v>
      </c>
      <c r="CI51" s="1737">
        <f>$BM$29</f>
        <v>74</v>
      </c>
      <c r="CQ51" s="1737">
        <f>$BM$29</f>
        <v>74</v>
      </c>
      <c r="CT51" s="1610">
        <f t="shared" si="86"/>
        <v>21</v>
      </c>
      <c r="CU51" s="1611">
        <f t="shared" si="87"/>
        <v>25</v>
      </c>
      <c r="CV51" s="1612">
        <f t="shared" si="88"/>
        <v>37</v>
      </c>
      <c r="CW51" s="19">
        <f t="shared" si="89"/>
        <v>1041.5</v>
      </c>
      <c r="CX51" s="1100">
        <f t="shared" si="90"/>
        <v>317.44920000000002</v>
      </c>
      <c r="CY51" s="1584"/>
      <c r="CZ51" s="1601">
        <f>'WNTR-Calcs'!H56</f>
        <v>28.890779649819315</v>
      </c>
      <c r="DA51" s="1602">
        <f>'WNTR-Calcs'!K56</f>
        <v>16.205118411000765</v>
      </c>
      <c r="DB51" s="1602">
        <f>'WNTR-Calcs'!L56</f>
        <v>-21.92774</v>
      </c>
      <c r="DC51" s="1603">
        <f>'WNTR-Calcs'!M56</f>
        <v>-21.267109999999999</v>
      </c>
      <c r="DD51" s="1604">
        <f>'WNTR-Calcs'!S56</f>
        <v>-4.7553735591502182</v>
      </c>
      <c r="DE51" s="1605">
        <f>'WNTR-Calcs'!R56</f>
        <v>8.742388538002048E-2</v>
      </c>
      <c r="DF51" s="1606">
        <f>'WNTR-Calcs'!AS56</f>
        <v>130.04228694960855</v>
      </c>
      <c r="DG51" s="1607">
        <f>'WNTR-Calcs'!AT56</f>
        <v>1.3378836105926805E-2</v>
      </c>
      <c r="DH51" s="1608">
        <f>'WNTR-Calcs'!AV56</f>
        <v>421.33700971673176</v>
      </c>
      <c r="DI51" s="1647"/>
      <c r="DJ51" s="1737">
        <f>$BM$29</f>
        <v>74</v>
      </c>
      <c r="DK51" s="737"/>
      <c r="DL51" s="737"/>
      <c r="DR51" s="1737">
        <f>$BM$29</f>
        <v>74</v>
      </c>
      <c r="DS51" s="1520"/>
    </row>
    <row r="52" spans="2:123" ht="18" customHeight="1" thickBot="1">
      <c r="B52" s="1265" t="s">
        <v>840</v>
      </c>
      <c r="C52" s="755"/>
      <c r="D52" s="755"/>
      <c r="E52" s="790"/>
      <c r="F52" s="1271"/>
      <c r="G52" s="1291" t="s">
        <v>841</v>
      </c>
      <c r="H52" s="755"/>
      <c r="I52" s="755"/>
      <c r="J52" s="755"/>
      <c r="K52" s="755"/>
      <c r="L52" s="755"/>
      <c r="M52" s="755"/>
      <c r="N52" s="755"/>
      <c r="O52" s="790"/>
      <c r="P52" s="2022">
        <v>0.35</v>
      </c>
      <c r="Q52" s="2005"/>
      <c r="R52" s="2004"/>
      <c r="S52" s="2005"/>
      <c r="T52" s="1962">
        <f t="shared" si="55"/>
        <v>3.5000000000000004E-5</v>
      </c>
      <c r="U52" s="1963"/>
      <c r="V52" s="1986"/>
      <c r="W52" s="1962">
        <f t="shared" si="56"/>
        <v>0</v>
      </c>
      <c r="X52" s="1963"/>
      <c r="Y52" s="1964"/>
      <c r="Z52" s="788"/>
      <c r="AA52" s="1969">
        <f t="shared" si="54"/>
        <v>9.5000000000000015E-2</v>
      </c>
      <c r="AB52" s="1970"/>
      <c r="AC52" s="1971"/>
      <c r="AD52" s="1965">
        <f t="shared" si="53"/>
        <v>0.55240961439810143</v>
      </c>
      <c r="AE52" s="1966"/>
      <c r="AF52" s="1967"/>
      <c r="AG52" s="755"/>
      <c r="AH52" s="755"/>
      <c r="AI52" s="755"/>
      <c r="AJ52" s="755"/>
      <c r="AK52" s="755"/>
      <c r="AL52" s="755"/>
      <c r="AM52" s="784"/>
      <c r="AN52" s="1221"/>
      <c r="AO52" s="1222"/>
      <c r="AP52" s="1222"/>
      <c r="AQ52" s="1222"/>
      <c r="AR52" s="1222"/>
      <c r="AS52" s="1222"/>
      <c r="AT52" s="1222"/>
      <c r="AU52" s="1222"/>
      <c r="AV52" s="1223"/>
      <c r="AY52" s="1313"/>
      <c r="AZ52" s="1312"/>
      <c r="BA52" s="1398" t="s">
        <v>854</v>
      </c>
      <c r="BB52" s="1487">
        <f xml:space="preserve"> BB51*BB50/100</f>
        <v>11788.723762619938</v>
      </c>
      <c r="BC52" s="1487">
        <f t="shared" ref="BC52:BI52" si="99" xml:space="preserve"> BC51*BC50/100</f>
        <v>7549.9044993165307</v>
      </c>
      <c r="BD52" s="1487">
        <f t="shared" si="99"/>
        <v>7800</v>
      </c>
      <c r="BE52" s="1487">
        <f t="shared" si="99"/>
        <v>6318</v>
      </c>
      <c r="BF52" s="1487">
        <f t="shared" si="99"/>
        <v>5760</v>
      </c>
      <c r="BG52" s="1487">
        <f t="shared" si="99"/>
        <v>2140.1967565156247</v>
      </c>
      <c r="BH52" s="1487">
        <f t="shared" si="99"/>
        <v>2140.1967565156247</v>
      </c>
      <c r="BI52" s="1488">
        <f t="shared" si="99"/>
        <v>4280.3935130312493</v>
      </c>
      <c r="BK52" s="1617">
        <f t="shared" si="76"/>
        <v>20</v>
      </c>
      <c r="BL52" s="1614">
        <f t="shared" si="98"/>
        <v>22</v>
      </c>
      <c r="BM52" s="1615">
        <f t="shared" si="77"/>
        <v>34</v>
      </c>
      <c r="BN52" s="1620">
        <f t="shared" si="78"/>
        <v>1001</v>
      </c>
      <c r="BO52" s="1616">
        <f t="shared" si="79"/>
        <v>305.10480000000001</v>
      </c>
      <c r="BP52" s="1146">
        <f t="shared" si="80"/>
        <v>1</v>
      </c>
      <c r="BS52" s="1595">
        <f t="shared" si="81"/>
        <v>20</v>
      </c>
      <c r="BT52" s="1596">
        <f t="shared" si="82"/>
        <v>22</v>
      </c>
      <c r="BU52" s="1597">
        <f t="shared" si="83"/>
        <v>34</v>
      </c>
      <c r="BV52" s="1598">
        <f t="shared" si="84"/>
        <v>1001</v>
      </c>
      <c r="BW52" s="1599">
        <f t="shared" si="85"/>
        <v>305.10480000000001</v>
      </c>
      <c r="BX52" s="1584"/>
      <c r="BY52" s="1601">
        <f>'SMMR-Calcs'!H57</f>
        <v>28.933390325235997</v>
      </c>
      <c r="BZ52" s="1602">
        <f>'SMMR-Calcs'!K57</f>
        <v>8.827349121466769</v>
      </c>
      <c r="CA52" s="1602">
        <f>'SMMR-Calcs'!L57</f>
        <v>93.216440000000006</v>
      </c>
      <c r="CB52" s="1603">
        <f>'SMMR-Calcs'!M57</f>
        <v>73.827659999999995</v>
      </c>
      <c r="CC52" s="1604">
        <f>'SMMR-Calcs'!S57</f>
        <v>37.996906351249358</v>
      </c>
      <c r="CD52" s="1605">
        <f>'SMMR-Calcs'!R57</f>
        <v>6.782813300900431E-2</v>
      </c>
      <c r="CE52" s="1606">
        <f>'SMMR-Calcs'!AS57</f>
        <v>-297.99883390866228</v>
      </c>
      <c r="CF52" s="1607">
        <f>'SMMR-Calcs'!AT57</f>
        <v>-3.0658316245747146E-2</v>
      </c>
      <c r="CG52" s="1608">
        <f>'SMMR-Calcs'!AV57</f>
        <v>-965.51622186406587</v>
      </c>
      <c r="CI52" s="1737">
        <f>$BM$28</f>
        <v>76</v>
      </c>
      <c r="CQ52" s="1737">
        <f>$BM$28</f>
        <v>76</v>
      </c>
      <c r="CT52" s="1610">
        <f t="shared" si="86"/>
        <v>20</v>
      </c>
      <c r="CU52" s="1611">
        <f t="shared" si="87"/>
        <v>22</v>
      </c>
      <c r="CV52" s="1612">
        <f t="shared" si="88"/>
        <v>34</v>
      </c>
      <c r="CW52" s="19">
        <f t="shared" si="89"/>
        <v>1001</v>
      </c>
      <c r="CX52" s="1100">
        <f t="shared" si="90"/>
        <v>305.10480000000001</v>
      </c>
      <c r="CY52" s="1584"/>
      <c r="CZ52" s="1601">
        <f>'WNTR-Calcs'!H57</f>
        <v>28.933390325235997</v>
      </c>
      <c r="DA52" s="1602">
        <f>'WNTR-Calcs'!K57</f>
        <v>15.741023682200153</v>
      </c>
      <c r="DB52" s="1602">
        <f>'WNTR-Calcs'!L57</f>
        <v>-21.783560000000001</v>
      </c>
      <c r="DC52" s="1603">
        <f>'WNTR-Calcs'!M57</f>
        <v>-21.172339999999998</v>
      </c>
      <c r="DD52" s="1604">
        <f>'WNTR-Calcs'!S57</f>
        <v>-4.730793154534215</v>
      </c>
      <c r="DE52" s="1605">
        <f>'WNTR-Calcs'!R57</f>
        <v>8.7525344553913753E-2</v>
      </c>
      <c r="DF52" s="1606">
        <f>'WNTR-Calcs'!AS57</f>
        <v>208.43914839809082</v>
      </c>
      <c r="DG52" s="1607">
        <f>'WNTR-Calcs'!AT57</f>
        <v>2.1444356831079304E-2</v>
      </c>
      <c r="DH52" s="1608">
        <f>'WNTR-Calcs'!AV57</f>
        <v>675.34284080981433</v>
      </c>
      <c r="DI52" s="1647"/>
      <c r="DJ52" s="1737">
        <f>$BM$28</f>
        <v>76</v>
      </c>
      <c r="DK52" s="737"/>
      <c r="DL52" s="737"/>
      <c r="DR52" s="1737">
        <f>$BM$28</f>
        <v>76</v>
      </c>
      <c r="DS52" s="1520"/>
    </row>
    <row r="53" spans="2:123" ht="18" customHeight="1">
      <c r="B53" s="1281" t="s">
        <v>722</v>
      </c>
      <c r="C53" s="1260"/>
      <c r="D53" s="1260"/>
      <c r="E53" s="1260"/>
      <c r="F53" s="1260"/>
      <c r="G53" s="1261" t="s">
        <v>85</v>
      </c>
      <c r="H53" s="1260"/>
      <c r="I53" s="1260"/>
      <c r="J53" s="1260"/>
      <c r="K53" s="1260"/>
      <c r="L53" s="1260"/>
      <c r="M53" s="1260"/>
      <c r="N53" s="1260"/>
      <c r="O53" s="1268"/>
      <c r="P53" s="1999" t="s">
        <v>723</v>
      </c>
      <c r="Q53" s="2001"/>
      <c r="R53" s="2002" t="s">
        <v>907</v>
      </c>
      <c r="S53" s="2001"/>
      <c r="T53" s="1999" t="s">
        <v>723</v>
      </c>
      <c r="U53" s="2000"/>
      <c r="V53" s="2001"/>
      <c r="W53" s="2002" t="s">
        <v>907</v>
      </c>
      <c r="X53" s="2000"/>
      <c r="Y53" s="2003"/>
      <c r="Z53" s="788"/>
      <c r="AA53" s="1969">
        <f t="shared" si="54"/>
        <v>0.10000000000000002</v>
      </c>
      <c r="AB53" s="1970"/>
      <c r="AC53" s="1971"/>
      <c r="AD53" s="1965">
        <f t="shared" si="53"/>
        <v>0.58148380462958038</v>
      </c>
      <c r="AE53" s="1966"/>
      <c r="AF53" s="1967"/>
      <c r="AG53" s="755"/>
      <c r="AH53" s="755"/>
      <c r="AI53" s="755"/>
      <c r="AJ53" s="755"/>
      <c r="AK53" s="755"/>
      <c r="AL53" s="755"/>
      <c r="AM53" s="784"/>
      <c r="AN53" s="1221"/>
      <c r="AO53" s="1222"/>
      <c r="AP53" s="1222"/>
      <c r="AQ53" s="1222"/>
      <c r="AR53" s="1222"/>
      <c r="AS53" s="1222"/>
      <c r="AT53" s="1222"/>
      <c r="AU53" s="1222"/>
      <c r="AV53" s="1223"/>
      <c r="AY53" s="1313"/>
      <c r="AZ53" s="1312"/>
      <c r="BA53" s="1398" t="s">
        <v>857</v>
      </c>
      <c r="BB53" s="1489">
        <f t="shared" ref="BB53:BI53" si="100">BB29 * (BB51-BB52)</f>
        <v>15.639706858409117</v>
      </c>
      <c r="BC53" s="1489">
        <f t="shared" si="100"/>
        <v>15.024309953639897</v>
      </c>
      <c r="BD53" s="1489">
        <f t="shared" si="100"/>
        <v>8.3580000000000005</v>
      </c>
      <c r="BE53" s="1489">
        <f t="shared" si="100"/>
        <v>6.7699800000000003</v>
      </c>
      <c r="BF53" s="1489">
        <f t="shared" si="100"/>
        <v>7.6416000000000004</v>
      </c>
      <c r="BG53" s="1489">
        <f t="shared" si="100"/>
        <v>5.2054341111252258</v>
      </c>
      <c r="BH53" s="1489">
        <f t="shared" si="100"/>
        <v>5.2054341111252258</v>
      </c>
      <c r="BI53" s="1490">
        <f t="shared" si="100"/>
        <v>5.6786553939547906</v>
      </c>
      <c r="BK53" s="1617">
        <f t="shared" si="76"/>
        <v>19</v>
      </c>
      <c r="BL53" s="1614">
        <f t="shared" si="98"/>
        <v>19</v>
      </c>
      <c r="BM53" s="1615">
        <f t="shared" si="77"/>
        <v>31</v>
      </c>
      <c r="BN53" s="1620">
        <f t="shared" si="78"/>
        <v>960.5</v>
      </c>
      <c r="BO53" s="1616">
        <f t="shared" si="79"/>
        <v>292.7604</v>
      </c>
      <c r="BP53" s="1146">
        <f t="shared" si="80"/>
        <v>1</v>
      </c>
      <c r="BS53" s="1595">
        <f t="shared" si="81"/>
        <v>19</v>
      </c>
      <c r="BT53" s="1596">
        <f t="shared" si="82"/>
        <v>19</v>
      </c>
      <c r="BU53" s="1597">
        <f t="shared" si="83"/>
        <v>31</v>
      </c>
      <c r="BV53" s="1598">
        <f t="shared" si="84"/>
        <v>960.5</v>
      </c>
      <c r="BW53" s="1599">
        <f t="shared" si="85"/>
        <v>292.7604</v>
      </c>
      <c r="BX53" s="1584"/>
      <c r="BY53" s="1601">
        <f>'SMMR-Calcs'!H58</f>
        <v>28.976051874230858</v>
      </c>
      <c r="BZ53" s="1602">
        <f>'SMMR-Calcs'!K58</f>
        <v>8.5179526355996948</v>
      </c>
      <c r="CA53" s="1602">
        <f>'SMMR-Calcs'!L58</f>
        <v>93.360619999999997</v>
      </c>
      <c r="CB53" s="1603">
        <f>'SMMR-Calcs'!M58</f>
        <v>73.922430000000006</v>
      </c>
      <c r="CC53" s="1604">
        <f>'SMMR-Calcs'!S58</f>
        <v>38.055525779921638</v>
      </c>
      <c r="CD53" s="1605">
        <f>'SMMR-Calcs'!R58</f>
        <v>6.7908197730939993E-2</v>
      </c>
      <c r="CE53" s="1606">
        <f>'SMMR-Calcs'!AS58</f>
        <v>-306.28520914092542</v>
      </c>
      <c r="CF53" s="1607">
        <f>'SMMR-Calcs'!AT58</f>
        <v>-3.1510823985691917E-2</v>
      </c>
      <c r="CG53" s="1608">
        <f>'SMMR-Calcs'!AV58</f>
        <v>-992.36407761659837</v>
      </c>
      <c r="CI53" s="1737">
        <f>$BM$27</f>
        <v>78</v>
      </c>
      <c r="CQ53" s="1737">
        <f>$BM$27</f>
        <v>78</v>
      </c>
      <c r="CT53" s="1610">
        <f t="shared" si="86"/>
        <v>19</v>
      </c>
      <c r="CU53" s="1611">
        <f t="shared" si="87"/>
        <v>19</v>
      </c>
      <c r="CV53" s="1612">
        <f t="shared" si="88"/>
        <v>31</v>
      </c>
      <c r="CW53" s="19">
        <f t="shared" si="89"/>
        <v>960.5</v>
      </c>
      <c r="CX53" s="1100">
        <f t="shared" si="90"/>
        <v>292.7604</v>
      </c>
      <c r="CY53" s="1584"/>
      <c r="CZ53" s="1601">
        <f>'WNTR-Calcs'!H58</f>
        <v>28.976051874230858</v>
      </c>
      <c r="DA53" s="1602">
        <f>'WNTR-Calcs'!K58</f>
        <v>15.27692895339954</v>
      </c>
      <c r="DB53" s="1602">
        <f>'WNTR-Calcs'!L58</f>
        <v>-21.639379999999999</v>
      </c>
      <c r="DC53" s="1603">
        <f>'WNTR-Calcs'!M58</f>
        <v>-21.077570000000001</v>
      </c>
      <c r="DD53" s="1604">
        <f>'WNTR-Calcs'!S58</f>
        <v>-4.7062110560406198</v>
      </c>
      <c r="DE53" s="1605">
        <f>'WNTR-Calcs'!R58</f>
        <v>8.7626894398245642E-2</v>
      </c>
      <c r="DF53" s="1606">
        <f>'WNTR-Calcs'!AS58</f>
        <v>264.38339014389334</v>
      </c>
      <c r="DG53" s="1607">
        <f>'WNTR-Calcs'!AT58</f>
        <v>2.7199937257602193E-2</v>
      </c>
      <c r="DH53" s="1608">
        <f>'WNTR-Calcs'!AV58</f>
        <v>856.60218406621448</v>
      </c>
      <c r="DI53" s="1647"/>
      <c r="DJ53" s="1737">
        <f>$BM$27</f>
        <v>78</v>
      </c>
      <c r="DK53" s="737"/>
      <c r="DL53" s="737"/>
      <c r="DR53" s="1737">
        <f>$BM$27</f>
        <v>78</v>
      </c>
      <c r="DS53" s="1520"/>
    </row>
    <row r="54" spans="2:123" ht="18" customHeight="1" thickBot="1">
      <c r="B54" s="1262" t="s">
        <v>842</v>
      </c>
      <c r="C54" s="1258"/>
      <c r="D54" s="1258"/>
      <c r="E54" s="1258"/>
      <c r="F54" s="1258"/>
      <c r="G54" s="1259"/>
      <c r="H54" s="1258"/>
      <c r="I54" s="1258"/>
      <c r="J54" s="1258"/>
      <c r="K54" s="1282"/>
      <c r="L54" s="1258"/>
      <c r="M54" s="1284" t="s">
        <v>910</v>
      </c>
      <c r="N54" s="1283"/>
      <c r="O54" s="1269"/>
      <c r="P54" s="1273"/>
      <c r="Q54" s="1274"/>
      <c r="R54" s="1275"/>
      <c r="S54" s="1276"/>
      <c r="T54" s="1277" t="s">
        <v>909</v>
      </c>
      <c r="U54" s="1278"/>
      <c r="V54" s="1285"/>
      <c r="W54" s="1286"/>
      <c r="X54" s="1279"/>
      <c r="Y54" s="1280"/>
      <c r="Z54" s="788"/>
      <c r="AA54" s="1969">
        <f t="shared" si="54"/>
        <v>0.10500000000000002</v>
      </c>
      <c r="AB54" s="1970"/>
      <c r="AC54" s="1971"/>
      <c r="AD54" s="1965">
        <f t="shared" si="53"/>
        <v>0.61055799486105944</v>
      </c>
      <c r="AE54" s="1966"/>
      <c r="AF54" s="1967"/>
      <c r="AG54" s="755"/>
      <c r="AH54" s="755"/>
      <c r="AI54" s="755"/>
      <c r="AJ54" s="755"/>
      <c r="AK54" s="755"/>
      <c r="AL54" s="755"/>
      <c r="AM54" s="784"/>
      <c r="AN54" s="1221"/>
      <c r="AO54" s="1222"/>
      <c r="AP54" s="1222"/>
      <c r="AQ54" s="1222"/>
      <c r="AR54" s="1222"/>
      <c r="AS54" s="1222"/>
      <c r="AT54" s="1222"/>
      <c r="AU54" s="1222"/>
      <c r="AV54" s="1223"/>
      <c r="AY54" s="1314"/>
      <c r="AZ54" s="1315"/>
      <c r="BA54" s="1368" t="s">
        <v>858</v>
      </c>
      <c r="BB54" s="1491">
        <f t="shared" ref="BB54:BI54" si="101" xml:space="preserve"> BB30*BB52</f>
        <v>7.6626704457029593</v>
      </c>
      <c r="BC54" s="1491">
        <f t="shared" si="101"/>
        <v>1.8874761248291327</v>
      </c>
      <c r="BD54" s="1491">
        <f t="shared" si="101"/>
        <v>1.3260000000000001</v>
      </c>
      <c r="BE54" s="1491">
        <f t="shared" si="101"/>
        <v>1.07406</v>
      </c>
      <c r="BF54" s="1491">
        <f t="shared" si="101"/>
        <v>2.016</v>
      </c>
      <c r="BG54" s="1491">
        <f t="shared" si="101"/>
        <v>0.74906886478046864</v>
      </c>
      <c r="BH54" s="1491">
        <f t="shared" si="101"/>
        <v>0.74906886478046864</v>
      </c>
      <c r="BI54" s="1492">
        <f t="shared" si="101"/>
        <v>1.0700983782578124</v>
      </c>
      <c r="BK54" s="1617">
        <f t="shared" si="76"/>
        <v>18</v>
      </c>
      <c r="BL54" s="1614">
        <f t="shared" si="98"/>
        <v>16</v>
      </c>
      <c r="BM54" s="1615">
        <f t="shared" si="77"/>
        <v>28</v>
      </c>
      <c r="BN54" s="1620">
        <f t="shared" si="78"/>
        <v>920</v>
      </c>
      <c r="BO54" s="1616">
        <f t="shared" ref="BO54:BO60" si="102">IF(BM54="XX", "XX", BN54*0.3048)</f>
        <v>280.416</v>
      </c>
      <c r="BP54" s="1146">
        <f t="shared" si="80"/>
        <v>1</v>
      </c>
      <c r="BQ54" s="1533"/>
      <c r="BR54" s="1533"/>
      <c r="BS54" s="1595">
        <f t="shared" si="81"/>
        <v>18</v>
      </c>
      <c r="BT54" s="1596">
        <f t="shared" si="82"/>
        <v>16</v>
      </c>
      <c r="BU54" s="1597">
        <f t="shared" si="83"/>
        <v>28</v>
      </c>
      <c r="BV54" s="1598">
        <f t="shared" si="84"/>
        <v>920</v>
      </c>
      <c r="BW54" s="1599">
        <f t="shared" si="85"/>
        <v>280.416</v>
      </c>
      <c r="BX54" s="1600"/>
      <c r="BY54" s="1601">
        <f>'SMMR-Calcs'!H59</f>
        <v>29.018764343256649</v>
      </c>
      <c r="BZ54" s="1602">
        <f>'SMMR-Calcs'!K59</f>
        <v>8.2085561497326207</v>
      </c>
      <c r="CA54" s="1602">
        <f>'SMMR-Calcs'!L59</f>
        <v>93.504800000000003</v>
      </c>
      <c r="CB54" s="1603">
        <f>'SMMR-Calcs'!M59</f>
        <v>74.017200000000003</v>
      </c>
      <c r="CC54" s="1604">
        <f>'SMMR-Calcs'!S59</f>
        <v>38.114192496852013</v>
      </c>
      <c r="CD54" s="1605">
        <f>'SMMR-Calcs'!R59</f>
        <v>6.7988329256677721E-2</v>
      </c>
      <c r="CE54" s="1606">
        <f>'SMMR-Calcs'!AS59</f>
        <v>-314.48234445533137</v>
      </c>
      <c r="CF54" s="1607">
        <f>'SMMR-Calcs'!AT59</f>
        <v>-3.2354150664128743E-2</v>
      </c>
      <c r="CG54" s="1608">
        <f>'SMMR-Calcs'!AV59</f>
        <v>-1018.9227960352737</v>
      </c>
      <c r="CI54" s="1737">
        <f>$BM$26</f>
        <v>79</v>
      </c>
      <c r="CQ54" s="1737">
        <f>$BM$26</f>
        <v>79</v>
      </c>
      <c r="CT54" s="1610">
        <f t="shared" si="86"/>
        <v>18</v>
      </c>
      <c r="CU54" s="1611">
        <f t="shared" si="87"/>
        <v>16</v>
      </c>
      <c r="CV54" s="1612">
        <f t="shared" si="88"/>
        <v>28</v>
      </c>
      <c r="CW54" s="19">
        <f t="shared" si="89"/>
        <v>920</v>
      </c>
      <c r="CX54" s="1100">
        <f t="shared" si="90"/>
        <v>280.416</v>
      </c>
      <c r="CY54" s="1584"/>
      <c r="CZ54" s="1601">
        <f>'WNTR-Calcs'!H59</f>
        <v>29.018764343256649</v>
      </c>
      <c r="DA54" s="1602">
        <f>'WNTR-Calcs'!K59</f>
        <v>14.81283422459893</v>
      </c>
      <c r="DB54" s="1602">
        <f>'WNTR-Calcs'!L59</f>
        <v>-21.495200000000001</v>
      </c>
      <c r="DC54" s="1603">
        <f>'WNTR-Calcs'!M59</f>
        <v>-20.982800000000001</v>
      </c>
      <c r="DD54" s="1604">
        <f>'WNTR-Calcs'!S59</f>
        <v>-4.6816272552676397</v>
      </c>
      <c r="DE54" s="1605">
        <f>'WNTR-Calcs'!R59</f>
        <v>8.7728534968407074E-2</v>
      </c>
      <c r="DF54" s="1606">
        <f>'WNTR-Calcs'!AS59</f>
        <v>310.26777425458073</v>
      </c>
      <c r="DG54" s="1607">
        <f>'WNTR-Calcs'!AT59</f>
        <v>3.1920552906849871E-2</v>
      </c>
      <c r="DH54" s="1608">
        <f>'WNTR-Calcs'!AV59</f>
        <v>1005.2675885848416</v>
      </c>
      <c r="DI54" s="1647"/>
      <c r="DJ54" s="1737">
        <f>$BM$26</f>
        <v>79</v>
      </c>
      <c r="DK54" s="737"/>
      <c r="DL54" s="737"/>
      <c r="DR54" s="1737">
        <f>$BM$26</f>
        <v>79</v>
      </c>
      <c r="DS54" s="1520"/>
    </row>
    <row r="55" spans="2:123" ht="18" customHeight="1">
      <c r="B55" s="1948" t="s">
        <v>763</v>
      </c>
      <c r="C55" s="1232"/>
      <c r="D55" s="1232"/>
      <c r="E55" s="1949"/>
      <c r="F55" s="1952"/>
      <c r="G55" s="1951" t="s">
        <v>805</v>
      </c>
      <c r="H55" s="1232"/>
      <c r="I55" s="1232"/>
      <c r="J55" s="1232"/>
      <c r="K55" s="1232"/>
      <c r="L55" s="1232"/>
      <c r="M55" s="1232"/>
      <c r="N55" s="1232"/>
      <c r="O55" s="1949"/>
      <c r="P55" s="2023">
        <v>1.1000000000000001</v>
      </c>
      <c r="Q55" s="2009"/>
      <c r="R55" s="2008">
        <v>1.73</v>
      </c>
      <c r="S55" s="2009"/>
      <c r="T55" s="1990">
        <f t="shared" ref="T55:T68" si="103">P55*$B$28</f>
        <v>1.1000000000000003E-4</v>
      </c>
      <c r="U55" s="1991"/>
      <c r="V55" s="1994"/>
      <c r="W55" s="1990">
        <f t="shared" ref="W55:W68" si="104">R55*$B$28</f>
        <v>1.7300000000000003E-4</v>
      </c>
      <c r="X55" s="1991"/>
      <c r="Y55" s="1992"/>
      <c r="Z55" s="788"/>
      <c r="AA55" s="1969">
        <f t="shared" si="54"/>
        <v>0.11000000000000003</v>
      </c>
      <c r="AB55" s="1970"/>
      <c r="AC55" s="1971"/>
      <c r="AD55" s="1965">
        <f t="shared" si="53"/>
        <v>0.6396321850925385</v>
      </c>
      <c r="AE55" s="1966"/>
      <c r="AF55" s="1967"/>
      <c r="AG55" s="755"/>
      <c r="AH55" s="755"/>
      <c r="AI55" s="755"/>
      <c r="AJ55" s="755"/>
      <c r="AK55" s="755"/>
      <c r="AL55" s="755"/>
      <c r="AM55" s="784"/>
      <c r="AN55" s="1221"/>
      <c r="AO55" s="1222"/>
      <c r="AP55" s="1222"/>
      <c r="AQ55" s="1222"/>
      <c r="AR55" s="1222"/>
      <c r="AS55" s="1222"/>
      <c r="AT55" s="1222"/>
      <c r="AU55" s="1222"/>
      <c r="AV55" s="1223"/>
      <c r="AY55" s="1458"/>
      <c r="AZ55" s="1459"/>
      <c r="BA55" s="1459" t="s">
        <v>904</v>
      </c>
      <c r="BB55" s="1493">
        <f t="shared" ref="BB55:BI55" si="105" xml:space="preserve"> IF((BB28&gt;0), (BB47*BB28/100), (BB53+BB54))</f>
        <v>186.65479290814901</v>
      </c>
      <c r="BC55" s="1493">
        <f t="shared" si="105"/>
        <v>113.24856748974797</v>
      </c>
      <c r="BD55" s="1493">
        <f t="shared" si="105"/>
        <v>9.6840000000000011</v>
      </c>
      <c r="BE55" s="1493">
        <f t="shared" si="105"/>
        <v>7.8440400000000006</v>
      </c>
      <c r="BF55" s="1493">
        <f t="shared" si="105"/>
        <v>9.6576000000000004</v>
      </c>
      <c r="BG55" s="1493">
        <f t="shared" si="105"/>
        <v>40.425938734184022</v>
      </c>
      <c r="BH55" s="1493">
        <f t="shared" si="105"/>
        <v>45.18193152644097</v>
      </c>
      <c r="BI55" s="1493">
        <f t="shared" si="105"/>
        <v>46.370929724505203</v>
      </c>
      <c r="BK55" s="1617">
        <f t="shared" si="76"/>
        <v>17</v>
      </c>
      <c r="BL55" s="1614">
        <f t="shared" si="98"/>
        <v>13</v>
      </c>
      <c r="BM55" s="1615">
        <f t="shared" si="77"/>
        <v>25</v>
      </c>
      <c r="BN55" s="1620">
        <f t="shared" si="78"/>
        <v>879.5</v>
      </c>
      <c r="BO55" s="1616">
        <f t="shared" si="102"/>
        <v>268.07159999999999</v>
      </c>
      <c r="BP55" s="1146">
        <f t="shared" si="80"/>
        <v>1</v>
      </c>
      <c r="BQ55" s="1533"/>
      <c r="BR55" s="1533"/>
      <c r="BS55" s="1595">
        <f t="shared" si="81"/>
        <v>17</v>
      </c>
      <c r="BT55" s="1596">
        <f t="shared" si="82"/>
        <v>13</v>
      </c>
      <c r="BU55" s="1597">
        <f t="shared" si="83"/>
        <v>25</v>
      </c>
      <c r="BV55" s="1598">
        <f t="shared" si="84"/>
        <v>879.5</v>
      </c>
      <c r="BW55" s="1599">
        <f t="shared" si="85"/>
        <v>268.07159999999999</v>
      </c>
      <c r="BX55" s="1600"/>
      <c r="BY55" s="1601">
        <f>'SMMR-Calcs'!H60</f>
        <v>29.061527778795483</v>
      </c>
      <c r="BZ55" s="1602">
        <f>'SMMR-Calcs'!K60</f>
        <v>7.8991596638655466</v>
      </c>
      <c r="CA55" s="1602">
        <f>'SMMR-Calcs'!L60</f>
        <v>93.648979999999995</v>
      </c>
      <c r="CB55" s="1603">
        <f>'SMMR-Calcs'!M60</f>
        <v>74.111969999999999</v>
      </c>
      <c r="CC55" s="1604">
        <f>'SMMR-Calcs'!S60</f>
        <v>38.17290654196087</v>
      </c>
      <c r="CD55" s="1605">
        <f>'SMMR-Calcs'!R60</f>
        <v>6.8068527610345486E-2</v>
      </c>
      <c r="CE55" s="1606">
        <f>'SMMR-Calcs'!AS60</f>
        <v>-322.59704229085253</v>
      </c>
      <c r="CF55" s="1607">
        <f>'SMMR-Calcs'!AT60</f>
        <v>-3.3188996120458079E-2</v>
      </c>
      <c r="CG55" s="1608">
        <f>'SMMR-Calcs'!AV60</f>
        <v>-1045.2144170223623</v>
      </c>
      <c r="CI55" s="1737">
        <f>$BM$25</f>
        <v>81</v>
      </c>
      <c r="CQ55" s="1737">
        <f>$BM$25</f>
        <v>81</v>
      </c>
      <c r="CT55" s="1610">
        <f t="shared" si="86"/>
        <v>17</v>
      </c>
      <c r="CU55" s="1611">
        <f t="shared" si="87"/>
        <v>13</v>
      </c>
      <c r="CV55" s="1612">
        <f t="shared" si="88"/>
        <v>25</v>
      </c>
      <c r="CW55" s="19">
        <f t="shared" si="89"/>
        <v>879.5</v>
      </c>
      <c r="CX55" s="1100">
        <f t="shared" si="90"/>
        <v>268.07159999999999</v>
      </c>
      <c r="CY55" s="1584"/>
      <c r="CZ55" s="1601">
        <f>'WNTR-Calcs'!H60</f>
        <v>29.061527778795483</v>
      </c>
      <c r="DA55" s="1602">
        <f>'WNTR-Calcs'!K60</f>
        <v>14.34873949579832</v>
      </c>
      <c r="DB55" s="1602">
        <f>'WNTR-Calcs'!L60</f>
        <v>-21.351019999999998</v>
      </c>
      <c r="DC55" s="1603">
        <f>'WNTR-Calcs'!M60</f>
        <v>-20.888030000000001</v>
      </c>
      <c r="DD55" s="1604">
        <f>'WNTR-Calcs'!S60</f>
        <v>-4.6570417438004199</v>
      </c>
      <c r="DE55" s="1605">
        <f>'WNTR-Calcs'!R60</f>
        <v>8.7830266319801759E-2</v>
      </c>
      <c r="DF55" s="1606">
        <f>'WNTR-Calcs'!AS60</f>
        <v>350.07059717149804</v>
      </c>
      <c r="DG55" s="1607">
        <f>'WNTR-Calcs'!AT60</f>
        <v>3.6015493536162346E-2</v>
      </c>
      <c r="DH55" s="1608">
        <f>'WNTR-Calcs'!AV60</f>
        <v>1134.2287348356538</v>
      </c>
      <c r="DI55" s="1647"/>
      <c r="DJ55" s="1737">
        <f>$BM$25</f>
        <v>81</v>
      </c>
      <c r="DK55" s="737"/>
      <c r="DL55" s="737"/>
      <c r="DR55" s="1737">
        <f>$BM$25</f>
        <v>81</v>
      </c>
      <c r="DS55" s="1520"/>
    </row>
    <row r="56" spans="2:123" ht="18" customHeight="1">
      <c r="B56" s="1948" t="s">
        <v>764</v>
      </c>
      <c r="C56" s="1232"/>
      <c r="D56" s="1232"/>
      <c r="E56" s="1949"/>
      <c r="F56" s="1950"/>
      <c r="G56" s="1951" t="s">
        <v>806</v>
      </c>
      <c r="H56" s="1232"/>
      <c r="I56" s="1232"/>
      <c r="J56" s="1232"/>
      <c r="K56" s="1232"/>
      <c r="L56" s="1232"/>
      <c r="M56" s="1232"/>
      <c r="N56" s="1232"/>
      <c r="O56" s="1949"/>
      <c r="P56" s="2023">
        <v>2.6</v>
      </c>
      <c r="Q56" s="2009"/>
      <c r="R56" s="2008">
        <v>3.46</v>
      </c>
      <c r="S56" s="2009"/>
      <c r="T56" s="1990">
        <f t="shared" si="103"/>
        <v>2.6000000000000003E-4</v>
      </c>
      <c r="U56" s="1991"/>
      <c r="V56" s="1994"/>
      <c r="W56" s="1990">
        <f t="shared" si="104"/>
        <v>3.4600000000000006E-4</v>
      </c>
      <c r="X56" s="1991"/>
      <c r="Y56" s="1992"/>
      <c r="Z56" s="788"/>
      <c r="AA56" s="1969">
        <f t="shared" si="54"/>
        <v>0.11500000000000003</v>
      </c>
      <c r="AB56" s="1970"/>
      <c r="AC56" s="1971"/>
      <c r="AD56" s="1965">
        <f t="shared" si="53"/>
        <v>0.66870637532401755</v>
      </c>
      <c r="AE56" s="1966"/>
      <c r="AF56" s="1967"/>
      <c r="AG56" s="755"/>
      <c r="AH56" s="755"/>
      <c r="AI56" s="755"/>
      <c r="AJ56" s="755"/>
      <c r="AK56" s="755"/>
      <c r="AL56" s="755"/>
      <c r="AM56" s="784"/>
      <c r="AN56" s="1221"/>
      <c r="AO56" s="1222"/>
      <c r="AP56" s="1222"/>
      <c r="AQ56" s="1222"/>
      <c r="AR56" s="1222"/>
      <c r="AS56" s="1222"/>
      <c r="AT56" s="1222"/>
      <c r="AU56" s="1222"/>
      <c r="AV56" s="1223"/>
      <c r="AY56" s="1494"/>
      <c r="AZ56" s="1495"/>
      <c r="BA56" s="1495" t="s">
        <v>24</v>
      </c>
      <c r="BB56" s="1496">
        <f t="shared" ref="BB56:BI56" si="106" xml:space="preserve"> BB47 * (BB22 + IF(BB23="Y", 1,0))</f>
        <v>39295.745875399793</v>
      </c>
      <c r="BC56" s="1496">
        <f t="shared" si="106"/>
        <v>60399.235994532246</v>
      </c>
      <c r="BD56" s="1496">
        <f t="shared" si="106"/>
        <v>72000</v>
      </c>
      <c r="BE56" s="1496">
        <f t="shared" si="106"/>
        <v>398520</v>
      </c>
      <c r="BF56" s="1496">
        <f t="shared" si="106"/>
        <v>48000</v>
      </c>
      <c r="BG56" s="1496">
        <f t="shared" si="106"/>
        <v>118899.81980642361</v>
      </c>
      <c r="BH56" s="1496">
        <f t="shared" si="106"/>
        <v>76095.884676111105</v>
      </c>
      <c r="BI56" s="1497">
        <f t="shared" si="106"/>
        <v>21401.967565156247</v>
      </c>
      <c r="BK56" s="1617">
        <f t="shared" si="76"/>
        <v>16</v>
      </c>
      <c r="BL56" s="1614">
        <f t="shared" si="98"/>
        <v>10</v>
      </c>
      <c r="BM56" s="1615">
        <f t="shared" si="77"/>
        <v>22</v>
      </c>
      <c r="BN56" s="1620">
        <f t="shared" si="78"/>
        <v>839</v>
      </c>
      <c r="BO56" s="1616">
        <f t="shared" si="102"/>
        <v>255.72720000000001</v>
      </c>
      <c r="BP56" s="1146">
        <f t="shared" si="80"/>
        <v>1</v>
      </c>
      <c r="BQ56" s="1533"/>
      <c r="BR56" s="1533"/>
      <c r="BS56" s="1595">
        <f t="shared" si="81"/>
        <v>16</v>
      </c>
      <c r="BT56" s="1596">
        <f t="shared" si="82"/>
        <v>10</v>
      </c>
      <c r="BU56" s="1597">
        <f t="shared" si="83"/>
        <v>22</v>
      </c>
      <c r="BV56" s="1598">
        <f t="shared" si="84"/>
        <v>839</v>
      </c>
      <c r="BW56" s="1599">
        <f t="shared" si="85"/>
        <v>255.72720000000001</v>
      </c>
      <c r="BX56" s="1600"/>
      <c r="BY56" s="1601">
        <f>'SMMR-Calcs'!H61</f>
        <v>29.104342227358909</v>
      </c>
      <c r="BZ56" s="1602">
        <f>'SMMR-Calcs'!K61</f>
        <v>7.5897631779984724</v>
      </c>
      <c r="CA56" s="1602">
        <f>'SMMR-Calcs'!L61</f>
        <v>93.79316</v>
      </c>
      <c r="CB56" s="1603">
        <f>'SMMR-Calcs'!M61</f>
        <v>74.206739999999996</v>
      </c>
      <c r="CC56" s="1604">
        <f>'SMMR-Calcs'!S61</f>
        <v>38.231667955171105</v>
      </c>
      <c r="CD56" s="1605">
        <f>'SMMR-Calcs'!R61</f>
        <v>6.814879281604605E-2</v>
      </c>
      <c r="CE56" s="1606">
        <f>'SMMR-Calcs'!AS61</f>
        <v>-330.63537209142504</v>
      </c>
      <c r="CF56" s="1607">
        <f>'SMMR-Calcs'!AT61</f>
        <v>-3.4015984783068422E-2</v>
      </c>
      <c r="CG56" s="1608">
        <f>'SMMR-Calcs'!AV61</f>
        <v>-1071.2586055762172</v>
      </c>
      <c r="CI56" s="1737">
        <f>$BM$24</f>
        <v>82</v>
      </c>
      <c r="CQ56" s="1737">
        <f>$BM$24</f>
        <v>82</v>
      </c>
      <c r="CT56" s="1610">
        <f t="shared" si="86"/>
        <v>16</v>
      </c>
      <c r="CU56" s="1611">
        <f t="shared" si="87"/>
        <v>10</v>
      </c>
      <c r="CV56" s="1612">
        <f t="shared" si="88"/>
        <v>22</v>
      </c>
      <c r="CW56" s="19">
        <f t="shared" si="89"/>
        <v>839</v>
      </c>
      <c r="CX56" s="1100">
        <f t="shared" si="90"/>
        <v>255.72720000000001</v>
      </c>
      <c r="CY56" s="1584"/>
      <c r="CZ56" s="1601">
        <f>'WNTR-Calcs'!H61</f>
        <v>29.104342227358909</v>
      </c>
      <c r="DA56" s="1602">
        <f>'WNTR-Calcs'!K61</f>
        <v>13.884644766997708</v>
      </c>
      <c r="DB56" s="1602">
        <f>'WNTR-Calcs'!L61</f>
        <v>-21.20684</v>
      </c>
      <c r="DC56" s="1603">
        <f>'WNTR-Calcs'!M61</f>
        <v>-20.79326</v>
      </c>
      <c r="DD56" s="1604">
        <f>'WNTR-Calcs'!S61</f>
        <v>-4.6324545132109867</v>
      </c>
      <c r="DE56" s="1605">
        <f>'WNTR-Calcs'!R61</f>
        <v>8.7932088507846257E-2</v>
      </c>
      <c r="DF56" s="1606">
        <f>'WNTR-Calcs'!AS61</f>
        <v>385.67936284093651</v>
      </c>
      <c r="DG56" s="1607">
        <f>'WNTR-Calcs'!AT61</f>
        <v>3.9678946794335028E-2</v>
      </c>
      <c r="DH56" s="1608">
        <f>'WNTR-Calcs'!AV61</f>
        <v>1249.6011356046345</v>
      </c>
      <c r="DI56" s="1647"/>
      <c r="DJ56" s="1737">
        <f>$BM$24</f>
        <v>82</v>
      </c>
      <c r="DK56" s="737"/>
      <c r="DL56" s="737"/>
      <c r="DR56" s="1737">
        <f>$BM$24</f>
        <v>82</v>
      </c>
      <c r="DS56" s="1520"/>
    </row>
    <row r="57" spans="2:123" ht="18" customHeight="1" thickBot="1">
      <c r="B57" s="1266" t="s">
        <v>752</v>
      </c>
      <c r="C57" s="755"/>
      <c r="D57" s="755"/>
      <c r="E57" s="790"/>
      <c r="F57" s="1270"/>
      <c r="G57" s="1290" t="s">
        <v>802</v>
      </c>
      <c r="H57" s="755"/>
      <c r="I57" s="755"/>
      <c r="J57" s="755"/>
      <c r="K57" s="755"/>
      <c r="L57" s="755"/>
      <c r="M57" s="755"/>
      <c r="N57" s="755"/>
      <c r="O57" s="790"/>
      <c r="P57" s="2022">
        <v>1.3</v>
      </c>
      <c r="Q57" s="2005"/>
      <c r="R57" s="2004">
        <v>2.1</v>
      </c>
      <c r="S57" s="2005"/>
      <c r="T57" s="1962">
        <f t="shared" si="103"/>
        <v>1.3000000000000002E-4</v>
      </c>
      <c r="U57" s="1963"/>
      <c r="V57" s="1986"/>
      <c r="W57" s="1962">
        <f t="shared" si="104"/>
        <v>2.1000000000000004E-4</v>
      </c>
      <c r="X57" s="1963"/>
      <c r="Y57" s="1964"/>
      <c r="Z57" s="788"/>
      <c r="AA57" s="1969">
        <f t="shared" si="54"/>
        <v>0.12000000000000004</v>
      </c>
      <c r="AB57" s="1970"/>
      <c r="AC57" s="1971"/>
      <c r="AD57" s="1965">
        <f t="shared" si="53"/>
        <v>0.69778056555549661</v>
      </c>
      <c r="AE57" s="1966"/>
      <c r="AF57" s="1967"/>
      <c r="AG57" s="755"/>
      <c r="AH57" s="755"/>
      <c r="AI57" s="755"/>
      <c r="AJ57" s="755"/>
      <c r="AK57" s="755"/>
      <c r="AL57" s="755"/>
      <c r="AM57" s="784"/>
      <c r="AN57" s="1221"/>
      <c r="AO57" s="1222"/>
      <c r="AP57" s="1222"/>
      <c r="AQ57" s="1222"/>
      <c r="AR57" s="1222"/>
      <c r="AS57" s="1222"/>
      <c r="AT57" s="1222"/>
      <c r="AU57" s="1222"/>
      <c r="AV57" s="1223"/>
      <c r="AY57" s="1498"/>
      <c r="AZ57" s="1499"/>
      <c r="BA57" s="1499" t="s">
        <v>87</v>
      </c>
      <c r="BB57" s="1500">
        <f t="shared" ref="BB57:BI57" si="107">IF( (BB28&gt;0), (BB28/100 * BB47*BB42), (BB55*BB42) )</f>
        <v>373.30958581629801</v>
      </c>
      <c r="BC57" s="1500">
        <f t="shared" si="107"/>
        <v>452.99426995899182</v>
      </c>
      <c r="BD57" s="1500">
        <f t="shared" si="107"/>
        <v>58.104000000000006</v>
      </c>
      <c r="BE57" s="1500">
        <f t="shared" si="107"/>
        <v>321.60564000000005</v>
      </c>
      <c r="BF57" s="1500">
        <f t="shared" si="107"/>
        <v>48.288000000000004</v>
      </c>
      <c r="BG57" s="1500">
        <f t="shared" si="107"/>
        <v>1010.6484683546007</v>
      </c>
      <c r="BH57" s="1500">
        <f t="shared" si="107"/>
        <v>722.91090442305551</v>
      </c>
      <c r="BI57" s="1500">
        <f t="shared" si="107"/>
        <v>139.11278917351561</v>
      </c>
      <c r="BK57" s="1617">
        <f t="shared" si="76"/>
        <v>15</v>
      </c>
      <c r="BL57" s="1614">
        <v>7</v>
      </c>
      <c r="BM57" s="1615">
        <f t="shared" si="77"/>
        <v>19</v>
      </c>
      <c r="BN57" s="1620">
        <f t="shared" si="78"/>
        <v>798.5</v>
      </c>
      <c r="BO57" s="1616">
        <f t="shared" si="102"/>
        <v>243.3828</v>
      </c>
      <c r="BP57" s="1146">
        <f t="shared" si="80"/>
        <v>1</v>
      </c>
      <c r="BQ57" s="1533"/>
      <c r="BR57" s="1533"/>
      <c r="BS57" s="1595">
        <f t="shared" si="81"/>
        <v>15</v>
      </c>
      <c r="BT57" s="1596">
        <f t="shared" si="82"/>
        <v>7</v>
      </c>
      <c r="BU57" s="1597">
        <f t="shared" si="83"/>
        <v>19</v>
      </c>
      <c r="BV57" s="1598">
        <f t="shared" si="84"/>
        <v>798.5</v>
      </c>
      <c r="BW57" s="1599">
        <f t="shared" si="85"/>
        <v>243.3828</v>
      </c>
      <c r="BX57" s="1600"/>
      <c r="BY57" s="1601">
        <f>'SMMR-Calcs'!H62</f>
        <v>29.147207735487846</v>
      </c>
      <c r="BZ57" s="1602">
        <f>'SMMR-Calcs'!K62</f>
        <v>7.2803666921313983</v>
      </c>
      <c r="CA57" s="1602">
        <f>'SMMR-Calcs'!L62</f>
        <v>93.937340000000006</v>
      </c>
      <c r="CB57" s="1603">
        <f>'SMMR-Calcs'!M62</f>
        <v>74.301509999999993</v>
      </c>
      <c r="CC57" s="1604">
        <f>'SMMR-Calcs'!S62</f>
        <v>38.290476776408951</v>
      </c>
      <c r="CD57" s="1605">
        <f>'SMMR-Calcs'!R62</f>
        <v>6.8229124897856666E-2</v>
      </c>
      <c r="CE57" s="1606">
        <f>'SMMR-Calcs'!AS62</f>
        <v>-338.6027724365988</v>
      </c>
      <c r="CF57" s="1607">
        <f>'SMMR-Calcs'!AT62</f>
        <v>-3.4835676176604817E-2</v>
      </c>
      <c r="CG57" s="1608">
        <f>'SMMR-Calcs'!AV62</f>
        <v>-1097.0729826945803</v>
      </c>
      <c r="CI57" s="1737">
        <f>$BM$23</f>
        <v>83</v>
      </c>
      <c r="CQ57" s="1737">
        <f>$BM$23</f>
        <v>83</v>
      </c>
      <c r="CT57" s="1610">
        <f t="shared" si="86"/>
        <v>15</v>
      </c>
      <c r="CU57" s="1611">
        <f t="shared" si="87"/>
        <v>7</v>
      </c>
      <c r="CV57" s="1612">
        <f t="shared" si="88"/>
        <v>19</v>
      </c>
      <c r="CW57" s="19">
        <f t="shared" si="89"/>
        <v>798.5</v>
      </c>
      <c r="CX57" s="1100">
        <f t="shared" si="90"/>
        <v>243.3828</v>
      </c>
      <c r="CY57" s="1584"/>
      <c r="CZ57" s="1601">
        <f>'WNTR-Calcs'!H62</f>
        <v>29.147207735487846</v>
      </c>
      <c r="DA57" s="1602">
        <f>'WNTR-Calcs'!K62</f>
        <v>13.420550038197097</v>
      </c>
      <c r="DB57" s="1602">
        <f>'WNTR-Calcs'!L62</f>
        <v>-21.062660000000001</v>
      </c>
      <c r="DC57" s="1603">
        <f>'WNTR-Calcs'!M62</f>
        <v>-20.69849</v>
      </c>
      <c r="DD57" s="1604">
        <f>'WNTR-Calcs'!S62</f>
        <v>-4.6078655550582948</v>
      </c>
      <c r="DE57" s="1605">
        <f>'WNTR-Calcs'!R62</f>
        <v>8.8034001587969868E-2</v>
      </c>
      <c r="DF57" s="1606">
        <f>'WNTR-Calcs'!AS62</f>
        <v>418.16687535098697</v>
      </c>
      <c r="DG57" s="1607">
        <f>'WNTR-Calcs'!AT62</f>
        <v>4.3021283472323764E-2</v>
      </c>
      <c r="DH57" s="1608">
        <f>'WNTR-Calcs'!AV62</f>
        <v>1354.860676137198</v>
      </c>
      <c r="DI57" s="1647"/>
      <c r="DJ57" s="1737">
        <f>$BM$23</f>
        <v>83</v>
      </c>
      <c r="DK57" s="737"/>
      <c r="DL57" s="737"/>
      <c r="DR57" s="1737">
        <f>$BM$23</f>
        <v>83</v>
      </c>
      <c r="DS57" s="1520"/>
    </row>
    <row r="58" spans="2:123" ht="18" customHeight="1" thickBot="1">
      <c r="B58" s="1266" t="s">
        <v>753</v>
      </c>
      <c r="C58" s="755"/>
      <c r="D58" s="755"/>
      <c r="E58" s="790"/>
      <c r="F58" s="1270"/>
      <c r="G58" s="1290" t="s">
        <v>803</v>
      </c>
      <c r="H58" s="755"/>
      <c r="I58" s="755"/>
      <c r="J58" s="755"/>
      <c r="K58" s="755"/>
      <c r="L58" s="755"/>
      <c r="M58" s="755"/>
      <c r="N58" s="755"/>
      <c r="O58" s="790"/>
      <c r="P58" s="2022">
        <v>0.3</v>
      </c>
      <c r="Q58" s="2005"/>
      <c r="R58" s="2004">
        <v>0.3</v>
      </c>
      <c r="S58" s="2005"/>
      <c r="T58" s="1962">
        <f t="shared" si="103"/>
        <v>3.0000000000000004E-5</v>
      </c>
      <c r="U58" s="1963"/>
      <c r="V58" s="1986"/>
      <c r="W58" s="1962">
        <f t="shared" si="104"/>
        <v>3.0000000000000004E-5</v>
      </c>
      <c r="X58" s="1963"/>
      <c r="Y58" s="1964"/>
      <c r="Z58" s="788"/>
      <c r="AA58" s="1969">
        <f t="shared" si="54"/>
        <v>0.12500000000000003</v>
      </c>
      <c r="AB58" s="1970"/>
      <c r="AC58" s="1971"/>
      <c r="AD58" s="1965">
        <f t="shared" si="53"/>
        <v>0.72685475578697556</v>
      </c>
      <c r="AE58" s="1966"/>
      <c r="AF58" s="1967"/>
      <c r="AG58" s="755"/>
      <c r="AH58" s="755"/>
      <c r="AI58" s="755"/>
      <c r="AJ58" s="755"/>
      <c r="AK58" s="755"/>
      <c r="AL58" s="755"/>
      <c r="AM58" s="784"/>
      <c r="AN58" s="1221"/>
      <c r="AO58" s="1222"/>
      <c r="AP58" s="1222"/>
      <c r="AQ58" s="1222"/>
      <c r="AR58" s="1222"/>
      <c r="AS58" s="1222"/>
      <c r="AT58" s="1222"/>
      <c r="AU58" s="1222"/>
      <c r="AV58" s="1223"/>
      <c r="BK58" s="1617">
        <f t="shared" si="76"/>
        <v>14</v>
      </c>
      <c r="BL58" s="1618">
        <v>5</v>
      </c>
      <c r="BM58" s="1619">
        <f t="shared" si="77"/>
        <v>17</v>
      </c>
      <c r="BN58" s="1620">
        <f t="shared" si="78"/>
        <v>771.5</v>
      </c>
      <c r="BO58" s="1621">
        <f t="shared" si="102"/>
        <v>235.1532</v>
      </c>
      <c r="BP58" s="1146">
        <f t="shared" si="80"/>
        <v>1</v>
      </c>
      <c r="BQ58" s="1533"/>
      <c r="BR58" s="1533"/>
      <c r="BS58" s="1595">
        <f t="shared" si="81"/>
        <v>14</v>
      </c>
      <c r="BT58" s="1596">
        <f t="shared" si="82"/>
        <v>5</v>
      </c>
      <c r="BU58" s="1597">
        <f t="shared" si="83"/>
        <v>17</v>
      </c>
      <c r="BV58" s="1598">
        <f t="shared" si="84"/>
        <v>771.5</v>
      </c>
      <c r="BW58" s="1599">
        <f t="shared" si="85"/>
        <v>235.1532</v>
      </c>
      <c r="BX58" s="1584"/>
      <c r="BY58" s="1601">
        <f>'SMMR-Calcs'!H63</f>
        <v>29.175813130328883</v>
      </c>
      <c r="BZ58" s="1602">
        <f>'SMMR-Calcs'!K63</f>
        <v>7.0741023682200153</v>
      </c>
      <c r="CA58" s="1602">
        <f>'SMMR-Calcs'!L63</f>
        <v>94.033460000000005</v>
      </c>
      <c r="CB58" s="1603">
        <f>'SMMR-Calcs'!M63</f>
        <v>74.364689999999996</v>
      </c>
      <c r="CC58" s="1604">
        <f>'SMMR-Calcs'!S63</f>
        <v>38.329709014745696</v>
      </c>
      <c r="CD58" s="1605">
        <f>'SMMR-Calcs'!R63</f>
        <v>6.8282716784336603E-2</v>
      </c>
      <c r="CE58" s="1606">
        <f>'SMMR-Calcs'!AS63</f>
        <v>-343.87740371556862</v>
      </c>
      <c r="CF58" s="1607">
        <f>'SMMR-Calcs'!AT63</f>
        <v>-3.5378333715593478E-2</v>
      </c>
      <c r="CG58" s="1608">
        <f>'SMMR-Calcs'!AV63</f>
        <v>-1114.1627880384424</v>
      </c>
      <c r="CI58" s="1525" t="str">
        <f>$BM$22</f>
        <v>6-Htl</v>
      </c>
      <c r="CQ58" s="1525" t="str">
        <f>$BM$22</f>
        <v>6-Htl</v>
      </c>
      <c r="CT58" s="1610">
        <f t="shared" si="86"/>
        <v>14</v>
      </c>
      <c r="CU58" s="1611">
        <f t="shared" si="87"/>
        <v>5</v>
      </c>
      <c r="CV58" s="1612">
        <f t="shared" si="88"/>
        <v>17</v>
      </c>
      <c r="CW58" s="19">
        <f t="shared" si="89"/>
        <v>771.5</v>
      </c>
      <c r="CX58" s="1100">
        <f t="shared" si="90"/>
        <v>235.1532</v>
      </c>
      <c r="CY58" s="1584"/>
      <c r="CZ58" s="1601">
        <f>'WNTR-Calcs'!H63</f>
        <v>29.175813130328883</v>
      </c>
      <c r="DA58" s="1602">
        <f>'WNTR-Calcs'!K63</f>
        <v>13.111153552330023</v>
      </c>
      <c r="DB58" s="1602">
        <f>'WNTR-Calcs'!L63</f>
        <v>-20.966539999999998</v>
      </c>
      <c r="DC58" s="1603">
        <f>'WNTR-Calcs'!M63</f>
        <v>-20.63531</v>
      </c>
      <c r="DD58" s="1604">
        <f>'WNTR-Calcs'!S63</f>
        <v>-4.5914719523581109</v>
      </c>
      <c r="DE58" s="1605">
        <f>'WNTR-Calcs'!R63</f>
        <v>8.8101994164363345E-2</v>
      </c>
      <c r="DF58" s="1606">
        <f>'WNTR-Calcs'!AS63</f>
        <v>438.43670438268435</v>
      </c>
      <c r="DG58" s="1607">
        <f>'WNTR-Calcs'!AT63</f>
        <v>4.5106656829494274E-2</v>
      </c>
      <c r="DH58" s="1608">
        <f>'WNTR-Calcs'!AV63</f>
        <v>1420.5349221998974</v>
      </c>
      <c r="DI58" s="1647"/>
      <c r="DJ58" s="1525" t="str">
        <f>$BM$22</f>
        <v>6-Htl</v>
      </c>
      <c r="DK58" s="737"/>
      <c r="DL58" s="737"/>
      <c r="DR58" s="1525" t="str">
        <f>$BM$22</f>
        <v>6-Htl</v>
      </c>
      <c r="DS58" s="1521"/>
    </row>
    <row r="59" spans="2:123" ht="18" customHeight="1" thickBot="1">
      <c r="B59" s="1266" t="s">
        <v>754</v>
      </c>
      <c r="C59" s="755"/>
      <c r="D59" s="755"/>
      <c r="E59" s="790"/>
      <c r="F59" s="1270"/>
      <c r="G59" s="1290" t="s">
        <v>811</v>
      </c>
      <c r="H59" s="755"/>
      <c r="I59" s="755"/>
      <c r="J59" s="755"/>
      <c r="K59" s="755"/>
      <c r="L59" s="755"/>
      <c r="M59" s="755"/>
      <c r="N59" s="755"/>
      <c r="O59" s="790"/>
      <c r="P59" s="2022">
        <v>2.5</v>
      </c>
      <c r="Q59" s="2005"/>
      <c r="R59" s="2004">
        <v>6.1</v>
      </c>
      <c r="S59" s="2005"/>
      <c r="T59" s="1962">
        <f t="shared" si="103"/>
        <v>2.5000000000000006E-4</v>
      </c>
      <c r="U59" s="1963"/>
      <c r="V59" s="1986"/>
      <c r="W59" s="1962">
        <f t="shared" si="104"/>
        <v>6.1000000000000008E-4</v>
      </c>
      <c r="X59" s="1963"/>
      <c r="Y59" s="1964"/>
      <c r="Z59" s="788"/>
      <c r="AA59" s="1969">
        <f t="shared" si="54"/>
        <v>0.13000000000000003</v>
      </c>
      <c r="AB59" s="1970"/>
      <c r="AC59" s="1971"/>
      <c r="AD59" s="1965">
        <f t="shared" si="53"/>
        <v>0.75592894601845462</v>
      </c>
      <c r="AE59" s="1966"/>
      <c r="AF59" s="1967"/>
      <c r="AG59" s="755"/>
      <c r="AH59" s="790"/>
      <c r="AI59" s="1247"/>
      <c r="AJ59" s="1250"/>
      <c r="AK59" s="1922" t="s">
        <v>964</v>
      </c>
      <c r="AL59" s="880"/>
      <c r="AM59" s="1219"/>
      <c r="AN59" s="1224"/>
      <c r="AO59" s="1213" t="s">
        <v>727</v>
      </c>
      <c r="AP59" s="1214"/>
      <c r="AQ59" s="1214"/>
      <c r="AR59" s="1214"/>
      <c r="AS59" s="1214"/>
      <c r="AT59" s="1214"/>
      <c r="AU59" s="1214"/>
      <c r="AV59" s="1215"/>
      <c r="AW59" s="923"/>
      <c r="AY59" s="1501" t="s">
        <v>911</v>
      </c>
      <c r="AZ59" s="1502"/>
      <c r="BA59" s="1503" t="s">
        <v>122</v>
      </c>
      <c r="BB59" s="1504" t="str">
        <f t="shared" ref="BB59:BI59" si="108">BB14</f>
        <v>1-Grd</v>
      </c>
      <c r="BC59" s="1504" t="str">
        <f t="shared" si="108"/>
        <v>2-Rtl</v>
      </c>
      <c r="BD59" s="1504" t="str">
        <f t="shared" si="108"/>
        <v>3-Fin</v>
      </c>
      <c r="BE59" s="1504" t="str">
        <f t="shared" si="108"/>
        <v>4-Ofc</v>
      </c>
      <c r="BF59" s="1504" t="str">
        <f t="shared" si="108"/>
        <v>5-Srv</v>
      </c>
      <c r="BG59" s="1504" t="str">
        <f t="shared" si="108"/>
        <v>6-Htl</v>
      </c>
      <c r="BH59" s="1504" t="str">
        <f t="shared" si="108"/>
        <v>7-Apt</v>
      </c>
      <c r="BI59" s="1505" t="str">
        <f t="shared" si="108"/>
        <v>8-din</v>
      </c>
      <c r="BK59" s="1617">
        <f>BK60+1</f>
        <v>13</v>
      </c>
      <c r="BL59" s="1618">
        <v>3</v>
      </c>
      <c r="BM59" s="1619">
        <f t="shared" si="77"/>
        <v>15</v>
      </c>
      <c r="BN59" s="1620">
        <f t="shared" si="78"/>
        <v>744.5</v>
      </c>
      <c r="BO59" s="1621">
        <f t="shared" si="102"/>
        <v>226.92360000000002</v>
      </c>
      <c r="BP59" s="1146">
        <f t="shared" ref="BP59" si="109">IF( (BL59&gt;0),1, 0)</f>
        <v>1</v>
      </c>
      <c r="BS59" s="1595">
        <f t="shared" si="81"/>
        <v>13</v>
      </c>
      <c r="BT59" s="1596">
        <f t="shared" si="82"/>
        <v>3</v>
      </c>
      <c r="BU59" s="1597">
        <f t="shared" si="83"/>
        <v>15</v>
      </c>
      <c r="BV59" s="1598">
        <f t="shared" si="84"/>
        <v>744.5</v>
      </c>
      <c r="BW59" s="1599">
        <f t="shared" si="85"/>
        <v>226.92360000000002</v>
      </c>
      <c r="BY59" s="1601">
        <f>'SMMR-Calcs'!H64</f>
        <v>29.204441252813353</v>
      </c>
      <c r="BZ59" s="1602">
        <f>'SMMR-Calcs'!K64</f>
        <v>6.8678380443086322</v>
      </c>
      <c r="CA59" s="1602">
        <f>'SMMR-Calcs'!L64</f>
        <v>94.129580000000004</v>
      </c>
      <c r="CB59" s="1603">
        <f>'SMMR-Calcs'!M64</f>
        <v>74.427869999999999</v>
      </c>
      <c r="CC59" s="1604">
        <f>'SMMR-Calcs'!S64</f>
        <v>38.368962352895537</v>
      </c>
      <c r="CD59" s="1605">
        <f>'SMMR-Calcs'!R64</f>
        <v>6.8336338411342512E-2</v>
      </c>
      <c r="CE59" s="1606">
        <f>'SMMR-Calcs'!AS64</f>
        <v>-349.12402471848196</v>
      </c>
      <c r="CF59" s="1607">
        <f>'SMMR-Calcs'!AT64</f>
        <v>-3.5918109538938474E-2</v>
      </c>
      <c r="CG59" s="1608">
        <f>'SMMR-Calcs'!AV64</f>
        <v>-1131.1618400878815</v>
      </c>
      <c r="CI59" s="1737">
        <f>$BM$21</f>
        <v>84</v>
      </c>
      <c r="CQ59" s="1737">
        <f>$BM$21</f>
        <v>84</v>
      </c>
      <c r="CT59" s="1610">
        <f t="shared" si="86"/>
        <v>13</v>
      </c>
      <c r="CU59" s="1611">
        <f t="shared" si="87"/>
        <v>3</v>
      </c>
      <c r="CV59" s="1612">
        <f t="shared" si="88"/>
        <v>15</v>
      </c>
      <c r="CW59" s="19">
        <f t="shared" si="89"/>
        <v>744.5</v>
      </c>
      <c r="CX59" s="1100">
        <f t="shared" si="90"/>
        <v>226.92360000000002</v>
      </c>
      <c r="CY59" s="1648"/>
      <c r="CZ59" s="1601">
        <f>'WNTR-Calcs'!H64</f>
        <v>29.204441252813353</v>
      </c>
      <c r="DA59" s="1602">
        <f>'WNTR-Calcs'!K64</f>
        <v>12.801757066462949</v>
      </c>
      <c r="DB59" s="1602">
        <f>'WNTR-Calcs'!L64</f>
        <v>-20.870419999999999</v>
      </c>
      <c r="DC59" s="1603">
        <f>'WNTR-Calcs'!M64</f>
        <v>-20.572130000000001</v>
      </c>
      <c r="DD59" s="1604">
        <f>'WNTR-Calcs'!S64</f>
        <v>-4.5750775755867279</v>
      </c>
      <c r="DE59" s="1605">
        <f>'WNTR-Calcs'!R64</f>
        <v>8.8170027178307547E-2</v>
      </c>
      <c r="DF59" s="1606">
        <f>'WNTR-Calcs'!AS64</f>
        <v>457.76908721933472</v>
      </c>
      <c r="DG59" s="1607">
        <f>'WNTR-Calcs'!AT64</f>
        <v>4.709558510486983E-2</v>
      </c>
      <c r="DH59" s="1608">
        <f>'WNTR-Calcs'!AV64</f>
        <v>1483.1718425906445</v>
      </c>
      <c r="DI59" s="1647"/>
      <c r="DJ59" s="1737">
        <f>$BM$21</f>
        <v>84</v>
      </c>
      <c r="DK59" s="737"/>
      <c r="DL59" s="737"/>
      <c r="DR59" s="1737">
        <f>$BM$21</f>
        <v>84</v>
      </c>
      <c r="DS59" s="1520"/>
    </row>
    <row r="60" spans="2:123" ht="18" customHeight="1" thickBot="1">
      <c r="B60" s="1266" t="s">
        <v>804</v>
      </c>
      <c r="C60" s="755"/>
      <c r="D60" s="755"/>
      <c r="E60" s="790"/>
      <c r="F60" s="1270"/>
      <c r="G60" s="1290" t="s">
        <v>812</v>
      </c>
      <c r="H60" s="755"/>
      <c r="I60" s="755"/>
      <c r="J60" s="755"/>
      <c r="K60" s="755"/>
      <c r="L60" s="755"/>
      <c r="M60" s="755"/>
      <c r="N60" s="755"/>
      <c r="O60" s="790"/>
      <c r="P60" s="2022">
        <v>0.97</v>
      </c>
      <c r="Q60" s="2005"/>
      <c r="R60" s="2012">
        <v>1.7</v>
      </c>
      <c r="S60" s="2013"/>
      <c r="T60" s="1962">
        <f t="shared" si="103"/>
        <v>9.7000000000000013E-5</v>
      </c>
      <c r="U60" s="1963"/>
      <c r="V60" s="1986"/>
      <c r="W60" s="1962">
        <f t="shared" si="104"/>
        <v>1.7000000000000004E-4</v>
      </c>
      <c r="X60" s="1963"/>
      <c r="Y60" s="1964"/>
      <c r="Z60" s="788"/>
      <c r="AA60" s="1969">
        <f t="shared" si="54"/>
        <v>0.13500000000000004</v>
      </c>
      <c r="AB60" s="1970"/>
      <c r="AC60" s="1971"/>
      <c r="AD60" s="1965">
        <f t="shared" si="53"/>
        <v>0.78500313624993368</v>
      </c>
      <c r="AE60" s="1966"/>
      <c r="AF60" s="1967"/>
      <c r="AG60" s="755"/>
      <c r="AH60" s="755"/>
      <c r="AI60" s="761"/>
      <c r="AJ60" s="761"/>
      <c r="AK60" s="881"/>
      <c r="AL60" s="778"/>
      <c r="AM60" s="779"/>
      <c r="AN60" s="779"/>
      <c r="AO60" s="780"/>
      <c r="AP60" s="780"/>
      <c r="AQ60" s="780"/>
      <c r="AR60" s="780"/>
      <c r="AS60" s="780"/>
      <c r="AT60" s="780"/>
      <c r="AU60" s="780"/>
      <c r="AV60" s="782"/>
      <c r="AW60" s="788"/>
      <c r="AY60" s="1506"/>
      <c r="AZ60" s="1507"/>
      <c r="BA60" s="1309" t="s">
        <v>863</v>
      </c>
      <c r="BB60" s="1508">
        <f t="shared" ref="BB60:BI60" si="110" xml:space="preserve"> BB43/BB33*BB34</f>
        <v>23040</v>
      </c>
      <c r="BC60" s="1508">
        <f t="shared" si="110"/>
        <v>18666.666666666668</v>
      </c>
      <c r="BD60" s="1508">
        <f t="shared" si="110"/>
        <v>7680</v>
      </c>
      <c r="BE60" s="1508">
        <f t="shared" si="110"/>
        <v>4106.666666666667</v>
      </c>
      <c r="BF60" s="1508">
        <f t="shared" si="110"/>
        <v>2400</v>
      </c>
      <c r="BG60" s="1508">
        <f t="shared" si="110"/>
        <v>2160</v>
      </c>
      <c r="BH60" s="1508">
        <f t="shared" si="110"/>
        <v>2160</v>
      </c>
      <c r="BI60" s="1508">
        <f t="shared" si="110"/>
        <v>6000</v>
      </c>
      <c r="BK60" s="1617">
        <f>BK62+1</f>
        <v>12</v>
      </c>
      <c r="BL60" s="1618">
        <v>1</v>
      </c>
      <c r="BM60" s="1619">
        <f t="shared" si="77"/>
        <v>13</v>
      </c>
      <c r="BN60" s="1620">
        <f t="shared" si="78"/>
        <v>717.5</v>
      </c>
      <c r="BO60" s="1621">
        <f t="shared" si="102"/>
        <v>218.69400000000002</v>
      </c>
      <c r="BP60" s="1146">
        <f t="shared" ref="BP60" si="111">IF( (BL60&gt;0),1, 0)</f>
        <v>1</v>
      </c>
      <c r="BS60" s="1595">
        <f t="shared" si="81"/>
        <v>12</v>
      </c>
      <c r="BT60" s="1596">
        <f t="shared" si="82"/>
        <v>1</v>
      </c>
      <c r="BU60" s="1597">
        <f t="shared" si="83"/>
        <v>13</v>
      </c>
      <c r="BV60" s="1598">
        <f t="shared" si="84"/>
        <v>717.5</v>
      </c>
      <c r="BW60" s="1599">
        <f t="shared" si="85"/>
        <v>218.69400000000002</v>
      </c>
      <c r="BY60" s="1623">
        <f>'SMMR-Calcs'!H65</f>
        <v>29.233092116752925</v>
      </c>
      <c r="BZ60" s="1624">
        <f>'SMMR-Calcs'!K65</f>
        <v>6.66157372039725</v>
      </c>
      <c r="CA60" s="1624">
        <f>'SMMR-Calcs'!L65</f>
        <v>94.225700000000003</v>
      </c>
      <c r="CB60" s="1625">
        <f>'SMMR-Calcs'!M65</f>
        <v>74.491050000000001</v>
      </c>
      <c r="CC60" s="1626">
        <f>'SMMR-Calcs'!S65</f>
        <v>38.408236802690723</v>
      </c>
      <c r="CD60" s="1627">
        <f>'SMMR-Calcs'!R65</f>
        <v>6.8389989785989411E-2</v>
      </c>
      <c r="CE60" s="1606">
        <f>'SMMR-Calcs'!AS65</f>
        <v>-354.34387956434352</v>
      </c>
      <c r="CF60" s="1607">
        <f>'SMMR-Calcs'!AT65</f>
        <v>-3.6455131642422173E-2</v>
      </c>
      <c r="CG60" s="1649">
        <f>'SMMR-Calcs'!AV65</f>
        <v>-1148.074169788473</v>
      </c>
      <c r="CI60" s="1737">
        <f>$BM$20</f>
        <v>85</v>
      </c>
      <c r="CQ60" s="1737">
        <f>$BM$20</f>
        <v>85</v>
      </c>
      <c r="CT60" s="1610">
        <f t="shared" si="86"/>
        <v>12</v>
      </c>
      <c r="CU60" s="1611">
        <f t="shared" si="87"/>
        <v>1</v>
      </c>
      <c r="CV60" s="1612">
        <f t="shared" si="88"/>
        <v>13</v>
      </c>
      <c r="CW60" s="19">
        <f t="shared" si="89"/>
        <v>717.5</v>
      </c>
      <c r="CX60" s="1100">
        <f t="shared" si="90"/>
        <v>218.69400000000002</v>
      </c>
      <c r="CY60" s="1648"/>
      <c r="CZ60" s="1623">
        <f>'WNTR-Calcs'!H65</f>
        <v>29.233092116752925</v>
      </c>
      <c r="DA60" s="1624">
        <f>'WNTR-Calcs'!K65</f>
        <v>12.492360580595875</v>
      </c>
      <c r="DB60" s="1624">
        <f>'WNTR-Calcs'!L65</f>
        <v>-20.7743</v>
      </c>
      <c r="DC60" s="1625">
        <f>'WNTR-Calcs'!M65</f>
        <v>-20.508949999999999</v>
      </c>
      <c r="DD60" s="1626">
        <f>'WNTR-Calcs'!S65</f>
        <v>-4.5586824222333844</v>
      </c>
      <c r="DE60" s="1631">
        <f>'WNTR-Calcs'!R65</f>
        <v>8.8238100646235287E-2</v>
      </c>
      <c r="DF60" s="1628">
        <f>'WNTR-Calcs'!AS65</f>
        <v>476.27819189566105</v>
      </c>
      <c r="DG60" s="1629">
        <f>'WNTR-Calcs'!AT65</f>
        <v>4.899981398103509E-2</v>
      </c>
      <c r="DH60" s="1630">
        <f>'WNTR-Calcs'!AV65</f>
        <v>1543.1413417419421</v>
      </c>
      <c r="DI60" s="1647"/>
      <c r="DJ60" s="1737">
        <f>$BM$20</f>
        <v>85</v>
      </c>
      <c r="DK60" s="737"/>
      <c r="DL60" s="737"/>
      <c r="DR60" s="1737">
        <f>$BM$20</f>
        <v>85</v>
      </c>
      <c r="DS60" s="1520"/>
    </row>
    <row r="61" spans="2:123" ht="18" customHeight="1">
      <c r="B61" s="1266" t="s">
        <v>755</v>
      </c>
      <c r="C61" s="755"/>
      <c r="D61" s="755"/>
      <c r="E61" s="790"/>
      <c r="F61" s="1270"/>
      <c r="G61" s="1290" t="s">
        <v>813</v>
      </c>
      <c r="H61" s="755"/>
      <c r="I61" s="755"/>
      <c r="J61" s="755"/>
      <c r="K61" s="755"/>
      <c r="L61" s="755"/>
      <c r="M61" s="755"/>
      <c r="N61" s="755"/>
      <c r="O61" s="790"/>
      <c r="P61" s="2022">
        <v>0.65</v>
      </c>
      <c r="Q61" s="2005"/>
      <c r="R61" s="2004">
        <v>1.9</v>
      </c>
      <c r="S61" s="2005"/>
      <c r="T61" s="1962">
        <f t="shared" si="103"/>
        <v>6.5000000000000008E-5</v>
      </c>
      <c r="U61" s="1963"/>
      <c r="V61" s="1986"/>
      <c r="W61" s="1962">
        <f t="shared" si="104"/>
        <v>1.9000000000000004E-4</v>
      </c>
      <c r="X61" s="1963"/>
      <c r="Y61" s="1964"/>
      <c r="Z61" s="788"/>
      <c r="AA61" s="1969">
        <f t="shared" si="54"/>
        <v>0.14000000000000004</v>
      </c>
      <c r="AB61" s="1970"/>
      <c r="AC61" s="1971"/>
      <c r="AD61" s="1965">
        <f t="shared" si="53"/>
        <v>0.81407732648141262</v>
      </c>
      <c r="AE61" s="1966"/>
      <c r="AF61" s="1967"/>
      <c r="AG61" s="755"/>
      <c r="AH61" s="755"/>
      <c r="AI61" s="755"/>
      <c r="AJ61" s="755"/>
      <c r="AK61" s="790"/>
      <c r="AL61" s="788"/>
      <c r="AM61" s="760"/>
      <c r="AN61" s="760"/>
      <c r="AO61" s="755"/>
      <c r="AP61" s="755"/>
      <c r="AQ61" s="755"/>
      <c r="AR61" s="755"/>
      <c r="AS61" s="755"/>
      <c r="AT61" s="755"/>
      <c r="AU61" s="755"/>
      <c r="AV61" s="784"/>
      <c r="AW61" s="788"/>
      <c r="AY61" s="1313"/>
      <c r="AZ61" s="1312"/>
      <c r="BA61" s="1398" t="s">
        <v>862</v>
      </c>
      <c r="BB61" s="1487">
        <f t="shared" ref="BB61:BI61" si="112" xml:space="preserve"> IF((BB36&gt;0), BB36, BB35*(BB43*$BE$10/100))</f>
        <v>15360</v>
      </c>
      <c r="BC61" s="1487">
        <f t="shared" si="112"/>
        <v>11200</v>
      </c>
      <c r="BD61" s="1487">
        <f t="shared" si="112"/>
        <v>5760</v>
      </c>
      <c r="BE61" s="1487">
        <f t="shared" si="112"/>
        <v>4620</v>
      </c>
      <c r="BF61" s="1487">
        <f t="shared" si="112"/>
        <v>3600</v>
      </c>
      <c r="BG61" s="1487">
        <f t="shared" si="112"/>
        <v>3600</v>
      </c>
      <c r="BH61" s="1487">
        <f t="shared" si="112"/>
        <v>3600</v>
      </c>
      <c r="BI61" s="1488">
        <f t="shared" si="112"/>
        <v>3600</v>
      </c>
      <c r="BK61" s="1632" t="s">
        <v>127</v>
      </c>
      <c r="BL61" s="1633"/>
      <c r="BM61" s="1634" t="str">
        <f>BD14</f>
        <v>3-Fin</v>
      </c>
      <c r="BN61" s="1635" t="s">
        <v>128</v>
      </c>
      <c r="BO61" s="1636">
        <f>BD42</f>
        <v>6</v>
      </c>
      <c r="BP61" s="1574">
        <f>SUM(BP64:BP67)</f>
        <v>4</v>
      </c>
      <c r="BQ61" s="1533"/>
      <c r="BR61" s="1533"/>
      <c r="BS61" s="1632" t="str">
        <f>BK61</f>
        <v>Section &gt;&gt;</v>
      </c>
      <c r="BT61" s="1633"/>
      <c r="BU61" s="1634" t="str">
        <f>BM61</f>
        <v>3-Fin</v>
      </c>
      <c r="BV61" s="1635" t="str">
        <f>BN61</f>
        <v># flrs &gt;&gt;</v>
      </c>
      <c r="BW61" s="1636">
        <f>BO61</f>
        <v>6</v>
      </c>
      <c r="BX61" s="1652"/>
      <c r="BY61" s="1576" t="s">
        <v>14</v>
      </c>
      <c r="BZ61" s="1577" t="s">
        <v>116</v>
      </c>
      <c r="CA61" s="1577" t="s">
        <v>36</v>
      </c>
      <c r="CB61" s="1578" t="s">
        <v>37</v>
      </c>
      <c r="CC61" s="1579" t="s">
        <v>915</v>
      </c>
      <c r="CD61" s="1580" t="s">
        <v>914</v>
      </c>
      <c r="CE61" s="1581" t="s">
        <v>115</v>
      </c>
      <c r="CF61" s="1582" t="s">
        <v>931</v>
      </c>
      <c r="CG61" s="1583" t="s">
        <v>151</v>
      </c>
      <c r="CI61" s="1737">
        <f>$BM$19</f>
        <v>86</v>
      </c>
      <c r="CQ61" s="1737">
        <f>$BM$19</f>
        <v>86</v>
      </c>
      <c r="CT61" s="1637" t="str">
        <f>BK61</f>
        <v>Section &gt;&gt;</v>
      </c>
      <c r="CU61" s="1638"/>
      <c r="CV61" s="1634" t="str">
        <f>BM61</f>
        <v>3-Fin</v>
      </c>
      <c r="CW61" s="1639" t="str">
        <f>BN61</f>
        <v># flrs &gt;&gt;</v>
      </c>
      <c r="CX61" s="1640">
        <f>BO61</f>
        <v>6</v>
      </c>
      <c r="CY61" s="1575"/>
      <c r="CZ61" s="1576" t="s">
        <v>14</v>
      </c>
      <c r="DA61" s="1577" t="s">
        <v>116</v>
      </c>
      <c r="DB61" s="1577" t="s">
        <v>36</v>
      </c>
      <c r="DC61" s="1578" t="s">
        <v>37</v>
      </c>
      <c r="DD61" s="1579" t="s">
        <v>915</v>
      </c>
      <c r="DE61" s="1580" t="s">
        <v>914</v>
      </c>
      <c r="DF61" s="1641" t="s">
        <v>115</v>
      </c>
      <c r="DG61" s="1642" t="s">
        <v>931</v>
      </c>
      <c r="DH61" s="1643" t="s">
        <v>151</v>
      </c>
      <c r="DI61" s="1647"/>
      <c r="DJ61" s="1737">
        <f>$BM$19</f>
        <v>86</v>
      </c>
      <c r="DK61" s="737"/>
      <c r="DL61" s="737"/>
      <c r="DR61" s="1737">
        <f>$BM$19</f>
        <v>86</v>
      </c>
      <c r="DS61" s="1520"/>
    </row>
    <row r="62" spans="2:123" ht="18" customHeight="1" thickBot="1">
      <c r="B62" s="1266" t="s">
        <v>756</v>
      </c>
      <c r="C62" s="755"/>
      <c r="D62" s="755"/>
      <c r="E62" s="790"/>
      <c r="F62" s="1270"/>
      <c r="G62" s="1290" t="s">
        <v>814</v>
      </c>
      <c r="H62" s="755"/>
      <c r="I62" s="755"/>
      <c r="J62" s="755"/>
      <c r="K62" s="755"/>
      <c r="L62" s="755"/>
      <c r="M62" s="755"/>
      <c r="N62" s="755"/>
      <c r="O62" s="790"/>
      <c r="P62" s="2022">
        <v>0.79</v>
      </c>
      <c r="Q62" s="2005"/>
      <c r="R62" s="2004">
        <v>1</v>
      </c>
      <c r="S62" s="2005"/>
      <c r="T62" s="1962">
        <f t="shared" si="103"/>
        <v>7.9000000000000023E-5</v>
      </c>
      <c r="U62" s="1963"/>
      <c r="V62" s="1986"/>
      <c r="W62" s="1962">
        <f t="shared" si="104"/>
        <v>1.0000000000000002E-4</v>
      </c>
      <c r="X62" s="1963"/>
      <c r="Y62" s="1964"/>
      <c r="Z62" s="788"/>
      <c r="AA62" s="1969">
        <f t="shared" si="54"/>
        <v>0.14500000000000005</v>
      </c>
      <c r="AB62" s="1970"/>
      <c r="AC62" s="1971"/>
      <c r="AD62" s="1965">
        <f t="shared" si="53"/>
        <v>0.84315151671289168</v>
      </c>
      <c r="AE62" s="1966"/>
      <c r="AF62" s="1967"/>
      <c r="AG62" s="755"/>
      <c r="AH62" s="755"/>
      <c r="AI62" s="755"/>
      <c r="AJ62" s="755"/>
      <c r="AK62" s="790"/>
      <c r="AL62" s="882"/>
      <c r="AM62" s="1005"/>
      <c r="AN62" s="1005"/>
      <c r="AO62" s="883"/>
      <c r="AP62" s="883"/>
      <c r="AQ62" s="883"/>
      <c r="AR62" s="883"/>
      <c r="AS62" s="883"/>
      <c r="AT62" s="883"/>
      <c r="AU62" s="883"/>
      <c r="AV62" s="884"/>
      <c r="AW62" s="999"/>
      <c r="AY62" s="1313"/>
      <c r="AZ62" s="1312"/>
      <c r="BA62" s="1398" t="s">
        <v>859</v>
      </c>
      <c r="BB62" s="1487">
        <f xml:space="preserve"> BB37*BB46*$BE$11</f>
        <v>30945.399876877338</v>
      </c>
      <c r="BC62" s="1487">
        <f t="shared" ref="BC62:BI62" si="113" xml:space="preserve"> BC37 * BC46*$BE$11</f>
        <v>26424.665747607858</v>
      </c>
      <c r="BD62" s="1487">
        <f t="shared" si="113"/>
        <v>25200</v>
      </c>
      <c r="BE62" s="1487">
        <f t="shared" si="113"/>
        <v>22680</v>
      </c>
      <c r="BF62" s="1487">
        <f t="shared" si="113"/>
        <v>20160</v>
      </c>
      <c r="BG62" s="1487">
        <f t="shared" si="113"/>
        <v>14981.377295609374</v>
      </c>
      <c r="BH62" s="1487">
        <f t="shared" si="113"/>
        <v>14981.377295609374</v>
      </c>
      <c r="BI62" s="1488">
        <f t="shared" si="113"/>
        <v>14981.377295609374</v>
      </c>
      <c r="BK62" s="1591">
        <f>BK63+1</f>
        <v>11</v>
      </c>
      <c r="BL62" s="1592">
        <v>6</v>
      </c>
      <c r="BM62" s="1615">
        <f t="shared" ref="BM62:BM67" si="114" xml:space="preserve"> IF(BL62&lt;=0, "XX", BB$42 + BC$42+BL62)</f>
        <v>12</v>
      </c>
      <c r="BN62" s="1620">
        <f t="shared" ref="BN62:BN67" si="115">IF(BM62="XX", "XX", $BB$9 + BB$44 + BC$44 + BL62*BD$20)</f>
        <v>704</v>
      </c>
      <c r="BO62" s="1594">
        <f t="shared" ref="BO62" si="116">IF(BM62="XX", "XX", BN62*0.3048)</f>
        <v>214.57920000000001</v>
      </c>
      <c r="BS62" s="1595">
        <f t="shared" ref="BS62:BS67" si="117">BK62</f>
        <v>11</v>
      </c>
      <c r="BT62" s="1596">
        <f t="shared" ref="BT62:BT67" si="118">BL62</f>
        <v>6</v>
      </c>
      <c r="BU62" s="1597">
        <f t="shared" ref="BU62:BU67" si="119">BM62</f>
        <v>12</v>
      </c>
      <c r="BV62" s="1598">
        <f t="shared" ref="BV62:BV67" si="120">BN62</f>
        <v>704</v>
      </c>
      <c r="BW62" s="1599">
        <f t="shared" ref="BW62:BW67" si="121">IF(BU62="XX", "XX", BV62*0.3048)</f>
        <v>214.57920000000001</v>
      </c>
      <c r="BX62" s="1600"/>
      <c r="BY62" s="1601">
        <f>'SMMR-Calcs'!H67</f>
        <v>29.247426081086136</v>
      </c>
      <c r="BZ62" s="1602">
        <f>'SMMR-Calcs'!K67</f>
        <v>6.5584415584415581</v>
      </c>
      <c r="CA62" s="1602">
        <f>'SMMR-Calcs'!L67</f>
        <v>94.273759999999996</v>
      </c>
      <c r="CB62" s="1603">
        <f>'SMMR-Calcs'!M67</f>
        <v>74.522639999999996</v>
      </c>
      <c r="CC62" s="1604">
        <f>'SMMR-Calcs'!S67</f>
        <v>38.42788194815315</v>
      </c>
      <c r="CD62" s="1605">
        <f>'SMMR-Calcs'!R67</f>
        <v>6.8416826630900388E-2</v>
      </c>
      <c r="CE62" s="1606">
        <f>'SMMR-Calcs'!AS67</f>
        <v>-440.67177387951642</v>
      </c>
      <c r="CF62" s="1607">
        <f>'SMMR-Calcs'!AT67</f>
        <v>-3.6722647823293035E-2</v>
      </c>
      <c r="CG62" s="1608">
        <f>'SMMR-Calcs'!AV67</f>
        <v>-1427.7765473696334</v>
      </c>
      <c r="CI62" s="1737">
        <f>$BM$18</f>
        <v>88</v>
      </c>
      <c r="CQ62" s="1737">
        <f>$BM$18</f>
        <v>88</v>
      </c>
      <c r="CT62" s="1610">
        <f t="shared" ref="CT62:CT67" si="122">BK62</f>
        <v>11</v>
      </c>
      <c r="CU62" s="1611">
        <f t="shared" ref="CU62:CU67" si="123">BL62</f>
        <v>6</v>
      </c>
      <c r="CV62" s="1612">
        <f t="shared" ref="CV62:CV67" si="124">BM62</f>
        <v>12</v>
      </c>
      <c r="CW62" s="19">
        <f t="shared" ref="CW62:CW67" si="125">BN62</f>
        <v>704</v>
      </c>
      <c r="CX62" s="1100">
        <f t="shared" ref="CX62:CX67" si="126">BO62</f>
        <v>214.57920000000001</v>
      </c>
      <c r="CY62" s="1584"/>
      <c r="CZ62" s="1601">
        <f>'WNTR-Calcs'!H67</f>
        <v>29.247426081086136</v>
      </c>
      <c r="DA62" s="1602">
        <f>'WNTR-Calcs'!K67</f>
        <v>12.337662337662337</v>
      </c>
      <c r="DB62" s="1602">
        <f>'WNTR-Calcs'!L67</f>
        <v>-20.726240000000001</v>
      </c>
      <c r="DC62" s="1603">
        <f>'WNTR-Calcs'!M67</f>
        <v>-20.477360000000001</v>
      </c>
      <c r="DD62" s="1604">
        <f>'WNTR-Calcs'!S67</f>
        <v>-4.5504845535531615</v>
      </c>
      <c r="DE62" s="1605">
        <f>'WNTR-Calcs'!R67</f>
        <v>8.8272152555579048E-2</v>
      </c>
      <c r="DF62" s="1606">
        <f>'WNTR-Calcs'!AS67</f>
        <v>599.07854234622505</v>
      </c>
      <c r="DG62" s="1607">
        <f>'WNTR-Calcs'!AT67</f>
        <v>4.9923211862185422E-2</v>
      </c>
      <c r="DH62" s="1608">
        <f>'WNTR-Calcs'!AV67</f>
        <v>1941.0144772017693</v>
      </c>
      <c r="DI62" s="1647"/>
      <c r="DJ62" s="1737">
        <f>$BM$18</f>
        <v>88</v>
      </c>
      <c r="DK62" s="737"/>
      <c r="DL62" s="737"/>
      <c r="DR62" s="1737">
        <f>$BM$18</f>
        <v>88</v>
      </c>
      <c r="DS62" s="1520"/>
    </row>
    <row r="63" spans="2:123" ht="18" customHeight="1" thickBot="1">
      <c r="B63" s="1266" t="s">
        <v>757</v>
      </c>
      <c r="C63" s="755"/>
      <c r="D63" s="755"/>
      <c r="E63" s="790"/>
      <c r="F63" s="1270"/>
      <c r="G63" s="1290" t="s">
        <v>817</v>
      </c>
      <c r="H63" s="755"/>
      <c r="I63" s="755"/>
      <c r="J63" s="755"/>
      <c r="K63" s="755"/>
      <c r="L63" s="755"/>
      <c r="M63" s="755"/>
      <c r="N63" s="755"/>
      <c r="O63" s="790"/>
      <c r="P63" s="2022">
        <v>0.87</v>
      </c>
      <c r="Q63" s="2005"/>
      <c r="R63" s="2004">
        <v>1.24</v>
      </c>
      <c r="S63" s="2005"/>
      <c r="T63" s="1962">
        <f t="shared" si="103"/>
        <v>8.7000000000000014E-5</v>
      </c>
      <c r="U63" s="1963"/>
      <c r="V63" s="1986"/>
      <c r="W63" s="1962">
        <f t="shared" si="104"/>
        <v>1.2400000000000003E-4</v>
      </c>
      <c r="X63" s="1963"/>
      <c r="Y63" s="1964"/>
      <c r="Z63" s="788"/>
      <c r="AA63" s="1969">
        <f t="shared" si="54"/>
        <v>0.15000000000000005</v>
      </c>
      <c r="AB63" s="1970"/>
      <c r="AC63" s="1971"/>
      <c r="AD63" s="1965">
        <f t="shared" si="53"/>
        <v>0.87222570694437074</v>
      </c>
      <c r="AE63" s="1966"/>
      <c r="AF63" s="1967"/>
      <c r="AG63" s="1220"/>
      <c r="AH63" s="1249"/>
      <c r="AI63" s="852"/>
      <c r="AJ63" s="1920" t="s">
        <v>962</v>
      </c>
      <c r="AK63" s="886"/>
      <c r="AL63" s="855"/>
      <c r="AM63" s="1211"/>
      <c r="AN63" s="1211"/>
      <c r="AO63" s="740" t="s">
        <v>725</v>
      </c>
      <c r="AP63" s="856"/>
      <c r="AQ63" s="856"/>
      <c r="AR63" s="856"/>
      <c r="AS63" s="856"/>
      <c r="AT63" s="856"/>
      <c r="AU63" s="856"/>
      <c r="AV63" s="887"/>
      <c r="AW63" s="998"/>
      <c r="AX63" s="108"/>
      <c r="AY63" s="1313"/>
      <c r="AZ63" s="1312"/>
      <c r="BA63" s="1398" t="s">
        <v>861</v>
      </c>
      <c r="BB63" s="1487">
        <f>BB38*BB43 * $BE$11/100</f>
        <v>17280</v>
      </c>
      <c r="BC63" s="1487">
        <f t="shared" ref="BC63:BI63" si="127">BC38 * BC43 * $BE$11/100</f>
        <v>12600</v>
      </c>
      <c r="BD63" s="1487">
        <f t="shared" si="127"/>
        <v>8640</v>
      </c>
      <c r="BE63" s="1487">
        <f t="shared" si="127"/>
        <v>6930</v>
      </c>
      <c r="BF63" s="1487">
        <f t="shared" si="127"/>
        <v>5400</v>
      </c>
      <c r="BG63" s="1487">
        <f t="shared" si="127"/>
        <v>4050</v>
      </c>
      <c r="BH63" s="1487">
        <f t="shared" si="127"/>
        <v>4050</v>
      </c>
      <c r="BI63" s="1488">
        <f t="shared" si="127"/>
        <v>4050</v>
      </c>
      <c r="BJ63" s="752"/>
      <c r="BK63" s="1591">
        <f>BK64+1</f>
        <v>10</v>
      </c>
      <c r="BL63" s="1592">
        <v>5</v>
      </c>
      <c r="BM63" s="1615">
        <f t="shared" si="114"/>
        <v>11</v>
      </c>
      <c r="BN63" s="1620">
        <f t="shared" si="115"/>
        <v>689</v>
      </c>
      <c r="BO63" s="1594">
        <f>IF(BM63="XX", "XX", BN63*0.3048)</f>
        <v>210.00720000000001</v>
      </c>
      <c r="BQ63" s="1533"/>
      <c r="BR63" s="1533"/>
      <c r="BS63" s="1595">
        <f t="shared" si="117"/>
        <v>10</v>
      </c>
      <c r="BT63" s="1596">
        <f t="shared" si="118"/>
        <v>5</v>
      </c>
      <c r="BU63" s="1597">
        <f t="shared" si="119"/>
        <v>11</v>
      </c>
      <c r="BV63" s="1598">
        <f t="shared" si="120"/>
        <v>689</v>
      </c>
      <c r="BW63" s="1599">
        <f t="shared" si="121"/>
        <v>210.00720000000001</v>
      </c>
      <c r="BX63" s="1600"/>
      <c r="BY63" s="1601">
        <f>'SMMR-Calcs'!H68</f>
        <v>29.263359382295011</v>
      </c>
      <c r="BZ63" s="1602">
        <f>'SMMR-Calcs'!K68</f>
        <v>6.4438502673796787</v>
      </c>
      <c r="CA63" s="1602">
        <f>'SMMR-Calcs'!L68</f>
        <v>94.327160000000006</v>
      </c>
      <c r="CB63" s="1603">
        <f>'SMMR-Calcs'!M68</f>
        <v>74.557739999999995</v>
      </c>
      <c r="CC63" s="1604">
        <f>'SMMR-Calcs'!S68</f>
        <v>38.449716082967747</v>
      </c>
      <c r="CD63" s="1605">
        <f>'SMMR-Calcs'!R68</f>
        <v>6.8446654072935445E-2</v>
      </c>
      <c r="CE63" s="1606">
        <f>'SMMR-Calcs'!AS68</f>
        <v>-444.22959914876924</v>
      </c>
      <c r="CF63" s="1607">
        <f>'SMMR-Calcs'!AT68</f>
        <v>-3.701913326239744E-2</v>
      </c>
      <c r="CG63" s="1608">
        <f>'SMMR-Calcs'!AV68</f>
        <v>-1439.3039012420124</v>
      </c>
      <c r="CH63" s="1584"/>
      <c r="CI63" s="1737">
        <f>$BM$17</f>
        <v>90</v>
      </c>
      <c r="CJ63" s="1609"/>
      <c r="CK63" s="1609"/>
      <c r="CL63" s="1609"/>
      <c r="CM63" s="1609"/>
      <c r="CN63" s="1609"/>
      <c r="CO63" s="1609"/>
      <c r="CP63" s="1609"/>
      <c r="CQ63" s="1737">
        <f>$BM$17</f>
        <v>90</v>
      </c>
      <c r="CR63" s="1538"/>
      <c r="CS63" s="1538"/>
      <c r="CT63" s="1610">
        <f t="shared" si="122"/>
        <v>10</v>
      </c>
      <c r="CU63" s="1611">
        <f t="shared" si="123"/>
        <v>5</v>
      </c>
      <c r="CV63" s="1612">
        <f t="shared" si="124"/>
        <v>11</v>
      </c>
      <c r="CW63" s="19">
        <f t="shared" si="125"/>
        <v>689</v>
      </c>
      <c r="CX63" s="1100">
        <f t="shared" si="126"/>
        <v>210.00720000000001</v>
      </c>
      <c r="CY63" s="1584"/>
      <c r="CZ63" s="1601">
        <f>'WNTR-Calcs'!H68</f>
        <v>29.263359382295011</v>
      </c>
      <c r="DA63" s="1602">
        <f>'WNTR-Calcs'!K68</f>
        <v>12.165775401069519</v>
      </c>
      <c r="DB63" s="1602">
        <f>'WNTR-Calcs'!L68</f>
        <v>-20.672840000000001</v>
      </c>
      <c r="DC63" s="1603">
        <f>'WNTR-Calcs'!M68</f>
        <v>-20.442260000000001</v>
      </c>
      <c r="DD63" s="1604">
        <f>'WNTR-Calcs'!S68</f>
        <v>-4.5413755817543215</v>
      </c>
      <c r="DE63" s="1605">
        <f>'WNTR-Calcs'!R68</f>
        <v>8.8309999879231008E-2</v>
      </c>
      <c r="DF63" s="1606">
        <f>'WNTR-Calcs'!AS68</f>
        <v>611.14125159942239</v>
      </c>
      <c r="DG63" s="1607">
        <f>'WNTR-Calcs'!AT68</f>
        <v>5.0928437633285202E-2</v>
      </c>
      <c r="DH63" s="1608">
        <f>'WNTR-Calcs'!AV68</f>
        <v>1980.0976551821288</v>
      </c>
      <c r="DI63" s="1584"/>
      <c r="DJ63" s="1737">
        <f>$BM$17</f>
        <v>90</v>
      </c>
      <c r="DK63" s="1609"/>
      <c r="DL63" s="1609"/>
      <c r="DM63" s="1609"/>
      <c r="DN63" s="1609"/>
      <c r="DO63" s="1609"/>
      <c r="DP63" s="1609"/>
      <c r="DQ63" s="1609"/>
      <c r="DR63" s="1737">
        <f>$BM$17</f>
        <v>90</v>
      </c>
      <c r="DS63" s="1520"/>
    </row>
    <row r="64" spans="2:123" ht="18" customHeight="1" thickBot="1">
      <c r="B64" s="1266" t="s">
        <v>758</v>
      </c>
      <c r="C64" s="755"/>
      <c r="D64" s="755"/>
      <c r="E64" s="790"/>
      <c r="F64" s="1270"/>
      <c r="G64" s="1290" t="s">
        <v>818</v>
      </c>
      <c r="H64" s="755"/>
      <c r="I64" s="755"/>
      <c r="J64" s="755"/>
      <c r="K64" s="755"/>
      <c r="L64" s="755"/>
      <c r="M64" s="755"/>
      <c r="N64" s="755"/>
      <c r="O64" s="790"/>
      <c r="P64" s="2022">
        <v>0.8</v>
      </c>
      <c r="Q64" s="2005"/>
      <c r="R64" s="2004">
        <v>2.06</v>
      </c>
      <c r="S64" s="2005"/>
      <c r="T64" s="1962">
        <f t="shared" si="103"/>
        <v>8.000000000000002E-5</v>
      </c>
      <c r="U64" s="1963"/>
      <c r="V64" s="1986"/>
      <c r="W64" s="1962">
        <f t="shared" si="104"/>
        <v>2.0600000000000005E-4</v>
      </c>
      <c r="X64" s="1963"/>
      <c r="Y64" s="1964"/>
      <c r="Z64" s="788"/>
      <c r="AA64" s="1969">
        <f t="shared" si="54"/>
        <v>0.15500000000000005</v>
      </c>
      <c r="AB64" s="1970"/>
      <c r="AC64" s="1971"/>
      <c r="AD64" s="1965">
        <f t="shared" si="53"/>
        <v>0.9012998971758498</v>
      </c>
      <c r="AE64" s="1966"/>
      <c r="AF64" s="1967"/>
      <c r="AG64" s="826"/>
      <c r="AH64" s="888"/>
      <c r="AI64" s="888"/>
      <c r="AJ64" s="889"/>
      <c r="AK64" s="1212"/>
      <c r="AL64" s="1212"/>
      <c r="AM64" s="890" t="s">
        <v>724</v>
      </c>
      <c r="AN64" s="768"/>
      <c r="AO64" s="768"/>
      <c r="AP64" s="768"/>
      <c r="AQ64" s="768"/>
      <c r="AR64" s="768"/>
      <c r="AS64" s="768"/>
      <c r="AT64" s="768"/>
      <c r="AU64" s="768"/>
      <c r="AV64" s="769"/>
      <c r="AW64" s="996"/>
      <c r="AX64" s="108"/>
      <c r="AY64" s="1313"/>
      <c r="AZ64" s="1312"/>
      <c r="BA64" s="1398" t="s">
        <v>860</v>
      </c>
      <c r="BB64" s="1487">
        <f>BB39*BB43 - (BB46*$BE$11 + BB43*$BE$10/100)</f>
        <v>62064.095296725078</v>
      </c>
      <c r="BC64" s="1487">
        <f t="shared" ref="BC64:BI64" si="128">BC39 * BC43 - (BC46*$BE$11 + BC43*$BE$10/100)</f>
        <v>43416.82583447246</v>
      </c>
      <c r="BD64" s="1487">
        <f t="shared" si="128"/>
        <v>26400</v>
      </c>
      <c r="BE64" s="1487">
        <f t="shared" si="128"/>
        <v>20000</v>
      </c>
      <c r="BF64" s="1487">
        <f t="shared" si="128"/>
        <v>14400.000000000004</v>
      </c>
      <c r="BG64" s="1487">
        <f t="shared" si="128"/>
        <v>10866.010811614586</v>
      </c>
      <c r="BH64" s="1487">
        <f t="shared" si="128"/>
        <v>10866.010811614586</v>
      </c>
      <c r="BI64" s="1488">
        <f t="shared" si="128"/>
        <v>10866.010811614586</v>
      </c>
      <c r="BJ64" s="1208"/>
      <c r="BK64" s="1591">
        <f>BK65+1</f>
        <v>9</v>
      </c>
      <c r="BL64" s="1592">
        <v>4</v>
      </c>
      <c r="BM64" s="1615">
        <f t="shared" si="114"/>
        <v>10</v>
      </c>
      <c r="BN64" s="1620">
        <f t="shared" si="115"/>
        <v>674</v>
      </c>
      <c r="BO64" s="1594">
        <f>IF(BM64="XX", "XX", BN64*0.3048)</f>
        <v>205.43520000000001</v>
      </c>
      <c r="BP64" s="1146">
        <f>IF( (BL64&gt;0),1, 0)</f>
        <v>1</v>
      </c>
      <c r="BQ64" s="1533"/>
      <c r="BR64" s="1533"/>
      <c r="BS64" s="1595">
        <f t="shared" si="117"/>
        <v>9</v>
      </c>
      <c r="BT64" s="1596">
        <f t="shared" si="118"/>
        <v>4</v>
      </c>
      <c r="BU64" s="1597">
        <f t="shared" si="119"/>
        <v>10</v>
      </c>
      <c r="BV64" s="1598">
        <f t="shared" si="120"/>
        <v>674</v>
      </c>
      <c r="BW64" s="1599">
        <f t="shared" si="121"/>
        <v>205.43520000000001</v>
      </c>
      <c r="BX64" s="1600"/>
      <c r="BY64" s="1601">
        <f>'SMMR-Calcs'!H69</f>
        <v>29.279299711239599</v>
      </c>
      <c r="BZ64" s="1602">
        <f>'SMMR-Calcs'!K69</f>
        <v>6.3292589763177993</v>
      </c>
      <c r="CA64" s="1602">
        <f>'SMMR-Calcs'!L69</f>
        <v>94.380560000000003</v>
      </c>
      <c r="CB64" s="1603">
        <f>'SMMR-Calcs'!M69</f>
        <v>74.592839999999995</v>
      </c>
      <c r="CC64" s="1604">
        <f>'SMMR-Calcs'!S69</f>
        <v>38.471556741229421</v>
      </c>
      <c r="CD64" s="1605">
        <f>'SMMR-Calcs'!R69</f>
        <v>6.8476490700850462E-2</v>
      </c>
      <c r="CE64" s="1606">
        <f>'SMMR-Calcs'!AS69</f>
        <v>-447.77811022928358</v>
      </c>
      <c r="CF64" s="1607">
        <f>'SMMR-Calcs'!AT69</f>
        <v>-3.7314842519106967E-2</v>
      </c>
      <c r="CG64" s="1608">
        <f>'SMMR-Calcs'!AV69</f>
        <v>-1450.801077142879</v>
      </c>
      <c r="CH64" s="1584"/>
      <c r="CI64" s="1737">
        <f>$BM$16</f>
        <v>92</v>
      </c>
      <c r="CJ64" s="1609"/>
      <c r="CK64" s="1609"/>
      <c r="CL64" s="1609"/>
      <c r="CM64" s="1609"/>
      <c r="CN64" s="1609"/>
      <c r="CO64" s="1609"/>
      <c r="CP64" s="1609"/>
      <c r="CQ64" s="1737">
        <f>$BM$16</f>
        <v>92</v>
      </c>
      <c r="CR64" s="1538"/>
      <c r="CS64" s="1538"/>
      <c r="CT64" s="1610">
        <f t="shared" si="122"/>
        <v>9</v>
      </c>
      <c r="CU64" s="1611">
        <f t="shared" si="123"/>
        <v>4</v>
      </c>
      <c r="CV64" s="1612">
        <f t="shared" si="124"/>
        <v>10</v>
      </c>
      <c r="CW64" s="19">
        <f t="shared" si="125"/>
        <v>674</v>
      </c>
      <c r="CX64" s="1100">
        <f t="shared" si="126"/>
        <v>205.43520000000001</v>
      </c>
      <c r="CY64" s="1584"/>
      <c r="CZ64" s="1601">
        <f>'WNTR-Calcs'!H69</f>
        <v>29.279299711239599</v>
      </c>
      <c r="DA64" s="1602">
        <f>'WNTR-Calcs'!K69</f>
        <v>11.993888464476701</v>
      </c>
      <c r="DB64" s="1602">
        <f>'WNTR-Calcs'!L69</f>
        <v>-20.619440000000001</v>
      </c>
      <c r="DC64" s="1603">
        <f>'WNTR-Calcs'!M69</f>
        <v>-20.407160000000001</v>
      </c>
      <c r="DD64" s="1604">
        <f>'WNTR-Calcs'!S69</f>
        <v>-4.5322663686743336</v>
      </c>
      <c r="DE64" s="1605">
        <f>'WNTR-Calcs'!R69</f>
        <v>8.8347859699108272E-2</v>
      </c>
      <c r="DF64" s="1606">
        <f>'WNTR-Calcs'!AS69</f>
        <v>622.95630537929594</v>
      </c>
      <c r="DG64" s="1607">
        <f>'WNTR-Calcs'!AT69</f>
        <v>5.1913025448274662E-2</v>
      </c>
      <c r="DH64" s="1608">
        <f>'WNTR-Calcs'!AV69</f>
        <v>2018.3784294289187</v>
      </c>
      <c r="DI64" s="1584"/>
      <c r="DJ64" s="1737">
        <f>$BM$16</f>
        <v>92</v>
      </c>
      <c r="DK64" s="1609"/>
      <c r="DL64" s="1609"/>
      <c r="DM64" s="1609"/>
      <c r="DN64" s="1609"/>
      <c r="DO64" s="1609"/>
      <c r="DP64" s="1609"/>
      <c r="DQ64" s="1609"/>
      <c r="DR64" s="1737">
        <f>$BM$16</f>
        <v>92</v>
      </c>
      <c r="DS64" s="1520"/>
    </row>
    <row r="65" spans="2:123" ht="18" customHeight="1" thickBot="1">
      <c r="B65" s="1266" t="s">
        <v>759</v>
      </c>
      <c r="C65" s="755"/>
      <c r="D65" s="755"/>
      <c r="E65" s="790"/>
      <c r="F65" s="1270"/>
      <c r="G65" s="1290" t="s">
        <v>819</v>
      </c>
      <c r="H65" s="755"/>
      <c r="I65" s="755"/>
      <c r="J65" s="755"/>
      <c r="K65" s="755"/>
      <c r="L65" s="755"/>
      <c r="M65" s="755"/>
      <c r="N65" s="755"/>
      <c r="O65" s="790"/>
      <c r="P65" s="2022">
        <v>0.44</v>
      </c>
      <c r="Q65" s="2005"/>
      <c r="R65" s="2004">
        <v>0.99</v>
      </c>
      <c r="S65" s="2005"/>
      <c r="T65" s="1962">
        <f t="shared" si="103"/>
        <v>4.4000000000000006E-5</v>
      </c>
      <c r="U65" s="1963"/>
      <c r="V65" s="1986"/>
      <c r="W65" s="1962">
        <f t="shared" si="104"/>
        <v>9.9000000000000021E-5</v>
      </c>
      <c r="X65" s="1963"/>
      <c r="Y65" s="1964"/>
      <c r="Z65" s="788"/>
      <c r="AA65" s="1969">
        <f t="shared" si="54"/>
        <v>0.16000000000000006</v>
      </c>
      <c r="AB65" s="1970"/>
      <c r="AC65" s="1971"/>
      <c r="AD65" s="1965">
        <f t="shared" si="53"/>
        <v>0.93037408740732885</v>
      </c>
      <c r="AE65" s="1966"/>
      <c r="AF65" s="1967"/>
      <c r="AG65" s="731"/>
      <c r="AH65" s="735"/>
      <c r="AI65" s="735"/>
      <c r="AJ65" s="891"/>
      <c r="AK65" s="893"/>
      <c r="AL65" s="893"/>
      <c r="AM65" s="892"/>
      <c r="AN65" s="893"/>
      <c r="AO65" s="893"/>
      <c r="AP65" s="893"/>
      <c r="AQ65" s="893"/>
      <c r="AR65" s="893"/>
      <c r="AS65" s="893"/>
      <c r="AT65" s="893"/>
      <c r="AU65" s="893"/>
      <c r="AV65" s="894"/>
      <c r="AW65" s="733"/>
      <c r="AX65" s="108"/>
      <c r="AY65" s="1314"/>
      <c r="AZ65" s="1315"/>
      <c r="BA65" s="1368" t="s">
        <v>864</v>
      </c>
      <c r="BB65" s="1509">
        <f>BB62 + BB63 + BB64</f>
        <v>110289.49517360242</v>
      </c>
      <c r="BC65" s="1509">
        <f t="shared" ref="BC65:BI65" si="129">BC62 + BC63 + BC64</f>
        <v>82441.491582080314</v>
      </c>
      <c r="BD65" s="1509">
        <f t="shared" si="129"/>
        <v>60240</v>
      </c>
      <c r="BE65" s="1509">
        <f t="shared" si="129"/>
        <v>49610</v>
      </c>
      <c r="BF65" s="1509">
        <f t="shared" si="129"/>
        <v>39960</v>
      </c>
      <c r="BG65" s="1509">
        <f t="shared" si="129"/>
        <v>29897.38810722396</v>
      </c>
      <c r="BH65" s="1509">
        <f t="shared" si="129"/>
        <v>29897.38810722396</v>
      </c>
      <c r="BI65" s="1510">
        <f t="shared" si="129"/>
        <v>29897.38810722396</v>
      </c>
      <c r="BJ65" s="752"/>
      <c r="BK65" s="1613">
        <f>BK66+1</f>
        <v>8</v>
      </c>
      <c r="BL65" s="1614">
        <v>3</v>
      </c>
      <c r="BM65" s="1615">
        <f t="shared" si="114"/>
        <v>9</v>
      </c>
      <c r="BN65" s="1620">
        <f t="shared" si="115"/>
        <v>659</v>
      </c>
      <c r="BO65" s="1616">
        <f>IF(BM65="XX", "XX", BN65*0.3048)</f>
        <v>200.86320000000001</v>
      </c>
      <c r="BP65" s="1146">
        <f>IF( (BL65&gt;0),1, 0)</f>
        <v>1</v>
      </c>
      <c r="BQ65" s="1533"/>
      <c r="BR65" s="1533"/>
      <c r="BS65" s="1595">
        <f t="shared" si="117"/>
        <v>8</v>
      </c>
      <c r="BT65" s="1596">
        <f t="shared" si="118"/>
        <v>3</v>
      </c>
      <c r="BU65" s="1597">
        <f t="shared" si="119"/>
        <v>9</v>
      </c>
      <c r="BV65" s="1598">
        <f t="shared" si="120"/>
        <v>659</v>
      </c>
      <c r="BW65" s="1599">
        <f t="shared" si="121"/>
        <v>200.86320000000001</v>
      </c>
      <c r="BX65" s="1584"/>
      <c r="BY65" s="1601">
        <f>'SMMR-Calcs'!H70</f>
        <v>29.295247070291015</v>
      </c>
      <c r="BZ65" s="1602">
        <f>'SMMR-Calcs'!K70</f>
        <v>6.2146676852559208</v>
      </c>
      <c r="CA65" s="1602">
        <f>'SMMR-Calcs'!L70</f>
        <v>94.433959999999999</v>
      </c>
      <c r="CB65" s="1603">
        <f>'SMMR-Calcs'!M70</f>
        <v>74.627939999999995</v>
      </c>
      <c r="CC65" s="1604">
        <f>'SMMR-Calcs'!S70</f>
        <v>38.493403924968469</v>
      </c>
      <c r="CD65" s="1605">
        <f>'SMMR-Calcs'!R70</f>
        <v>6.8506336515862937E-2</v>
      </c>
      <c r="CE65" s="1606">
        <f>'SMMR-Calcs'!AS70</f>
        <v>-451.31752680233581</v>
      </c>
      <c r="CF65" s="1607">
        <f>'SMMR-Calcs'!AT70</f>
        <v>-3.760979390019465E-2</v>
      </c>
      <c r="CG65" s="1608">
        <f>'SMMR-Calcs'!AV70</f>
        <v>-1462.2687868395681</v>
      </c>
      <c r="CH65" s="1584"/>
      <c r="CI65" s="1737">
        <f>$BM$15</f>
        <v>94</v>
      </c>
      <c r="CJ65" s="1609"/>
      <c r="CK65" s="1609"/>
      <c r="CL65" s="1609"/>
      <c r="CM65" s="1609"/>
      <c r="CN65" s="1609"/>
      <c r="CO65" s="1609"/>
      <c r="CP65" s="1609"/>
      <c r="CQ65" s="1737">
        <f>$BM$15</f>
        <v>94</v>
      </c>
      <c r="CR65" s="1538"/>
      <c r="CS65" s="1538"/>
      <c r="CT65" s="1610">
        <f t="shared" si="122"/>
        <v>8</v>
      </c>
      <c r="CU65" s="1611">
        <f t="shared" si="123"/>
        <v>3</v>
      </c>
      <c r="CV65" s="1612">
        <f t="shared" si="124"/>
        <v>9</v>
      </c>
      <c r="CW65" s="19">
        <f t="shared" si="125"/>
        <v>659</v>
      </c>
      <c r="CX65" s="1100">
        <f t="shared" si="126"/>
        <v>200.86320000000001</v>
      </c>
      <c r="CY65" s="1584"/>
      <c r="CZ65" s="1601">
        <f>'WNTR-Calcs'!H70</f>
        <v>29.295247070291015</v>
      </c>
      <c r="DA65" s="1602">
        <f>'WNTR-Calcs'!K70</f>
        <v>11.822001527883881</v>
      </c>
      <c r="DB65" s="1602">
        <f>'WNTR-Calcs'!L70</f>
        <v>-20.566040000000001</v>
      </c>
      <c r="DC65" s="1603">
        <f>'WNTR-Calcs'!M70</f>
        <v>-20.372060000000001</v>
      </c>
      <c r="DD65" s="1604">
        <f>'WNTR-Calcs'!S70</f>
        <v>-4.5231569138814161</v>
      </c>
      <c r="DE65" s="1605">
        <f>'WNTR-Calcs'!R70</f>
        <v>8.8385732018029906E-2</v>
      </c>
      <c r="DF65" s="1606">
        <f>'WNTR-Calcs'!AS70</f>
        <v>634.53753783914601</v>
      </c>
      <c r="DG65" s="1607">
        <f>'WNTR-Calcs'!AT70</f>
        <v>5.287812815326217E-2</v>
      </c>
      <c r="DH65" s="1608">
        <f>'WNTR-Calcs'!AV70</f>
        <v>2055.901622598833</v>
      </c>
      <c r="DI65" s="1584"/>
      <c r="DJ65" s="1737">
        <f>$BM$15</f>
        <v>94</v>
      </c>
      <c r="DK65" s="1609"/>
      <c r="DL65" s="1609"/>
      <c r="DM65" s="1609"/>
      <c r="DN65" s="1609"/>
      <c r="DO65" s="1609"/>
      <c r="DP65" s="1609"/>
      <c r="DQ65" s="1609"/>
      <c r="DR65" s="1737">
        <f>$BM$15</f>
        <v>94</v>
      </c>
      <c r="DS65" s="1520"/>
    </row>
    <row r="66" spans="2:123" ht="18" customHeight="1" thickBot="1">
      <c r="B66" s="1266" t="s">
        <v>760</v>
      </c>
      <c r="C66" s="755"/>
      <c r="D66" s="755"/>
      <c r="E66" s="790"/>
      <c r="F66" s="1270"/>
      <c r="G66" s="1290" t="s">
        <v>815</v>
      </c>
      <c r="H66" s="755"/>
      <c r="I66" s="755"/>
      <c r="J66" s="755"/>
      <c r="K66" s="755"/>
      <c r="L66" s="755"/>
      <c r="M66" s="755"/>
      <c r="N66" s="755"/>
      <c r="O66" s="790"/>
      <c r="P66" s="2022">
        <v>0.72</v>
      </c>
      <c r="Q66" s="2005"/>
      <c r="R66" s="2004">
        <v>0.8</v>
      </c>
      <c r="S66" s="2005"/>
      <c r="T66" s="1962">
        <f t="shared" si="103"/>
        <v>7.2000000000000015E-5</v>
      </c>
      <c r="U66" s="1963"/>
      <c r="V66" s="1986"/>
      <c r="W66" s="1962">
        <f t="shared" si="104"/>
        <v>8.000000000000002E-5</v>
      </c>
      <c r="X66" s="1963"/>
      <c r="Y66" s="1964"/>
      <c r="Z66" s="788"/>
      <c r="AA66" s="1969">
        <f t="shared" si="54"/>
        <v>0.16500000000000006</v>
      </c>
      <c r="AB66" s="1970"/>
      <c r="AC66" s="1971"/>
      <c r="AD66" s="1965">
        <f t="shared" si="53"/>
        <v>0.95944827763880791</v>
      </c>
      <c r="AE66" s="1966"/>
      <c r="AF66" s="1967"/>
      <c r="AG66" s="755"/>
      <c r="AH66" s="790"/>
      <c r="AI66" s="735"/>
      <c r="AJ66" s="984"/>
      <c r="AK66" s="986"/>
      <c r="AL66" s="986"/>
      <c r="AM66" s="1236"/>
      <c r="AN66" s="986"/>
      <c r="AO66" s="986"/>
      <c r="AP66" s="986"/>
      <c r="AQ66" s="986"/>
      <c r="AR66" s="986"/>
      <c r="AS66" s="986"/>
      <c r="AT66" s="986"/>
      <c r="AU66" s="986"/>
      <c r="AV66" s="987"/>
      <c r="AW66" s="733"/>
      <c r="AY66" s="1512" t="s">
        <v>921</v>
      </c>
      <c r="BK66" s="1613">
        <f>BK67+1</f>
        <v>7</v>
      </c>
      <c r="BL66" s="1614">
        <v>2</v>
      </c>
      <c r="BM66" s="1615">
        <f t="shared" si="114"/>
        <v>8</v>
      </c>
      <c r="BN66" s="1620">
        <f t="shared" si="115"/>
        <v>644</v>
      </c>
      <c r="BO66" s="1616">
        <f>IF(BM66="XX", "XX", BN66*0.3048)</f>
        <v>196.2912</v>
      </c>
      <c r="BP66" s="1146">
        <f>IF( (BL66&gt;0),1, 0)</f>
        <v>1</v>
      </c>
      <c r="BS66" s="1595">
        <f t="shared" si="117"/>
        <v>7</v>
      </c>
      <c r="BT66" s="1596">
        <f t="shared" si="118"/>
        <v>2</v>
      </c>
      <c r="BU66" s="1597">
        <f t="shared" si="119"/>
        <v>8</v>
      </c>
      <c r="BV66" s="1598">
        <f t="shared" si="120"/>
        <v>644</v>
      </c>
      <c r="BW66" s="1599">
        <f t="shared" si="121"/>
        <v>196.2912</v>
      </c>
      <c r="BY66" s="1601">
        <f>'SMMR-Calcs'!H71</f>
        <v>29.311201461820861</v>
      </c>
      <c r="BZ66" s="1602">
        <f>'SMMR-Calcs'!K71</f>
        <v>6.1000763941940415</v>
      </c>
      <c r="CA66" s="1602">
        <f>'SMMR-Calcs'!L71</f>
        <v>94.487359999999995</v>
      </c>
      <c r="CB66" s="1603">
        <f>'SMMR-Calcs'!M71</f>
        <v>74.663039999999995</v>
      </c>
      <c r="CC66" s="1604">
        <f>'SMMR-Calcs'!S71</f>
        <v>38.515257636213207</v>
      </c>
      <c r="CD66" s="1605">
        <f>'SMMR-Calcs'!R71</f>
        <v>6.8536191519189965E-2</v>
      </c>
      <c r="CE66" s="1606">
        <f>'SMMR-Calcs'!AS71</f>
        <v>-454.84806115697097</v>
      </c>
      <c r="CF66" s="1607">
        <f>'SMMR-Calcs'!AT71</f>
        <v>-3.7904005096414249E-2</v>
      </c>
      <c r="CG66" s="1608">
        <f>'SMMR-Calcs'!AV71</f>
        <v>-1473.7077181485861</v>
      </c>
      <c r="CI66" s="1737">
        <f>$BM$14</f>
        <v>96</v>
      </c>
      <c r="CQ66" s="1737">
        <f>$BM$14</f>
        <v>96</v>
      </c>
      <c r="CT66" s="1610">
        <f t="shared" si="122"/>
        <v>7</v>
      </c>
      <c r="CU66" s="1611">
        <f t="shared" si="123"/>
        <v>2</v>
      </c>
      <c r="CV66" s="1612">
        <f t="shared" si="124"/>
        <v>8</v>
      </c>
      <c r="CW66" s="19">
        <f t="shared" si="125"/>
        <v>644</v>
      </c>
      <c r="CX66" s="1100">
        <f t="shared" si="126"/>
        <v>196.2912</v>
      </c>
      <c r="CY66" s="1648"/>
      <c r="CZ66" s="1601">
        <f>'WNTR-Calcs'!H71</f>
        <v>29.311201461820861</v>
      </c>
      <c r="DA66" s="1602">
        <f>'WNTR-Calcs'!K71</f>
        <v>11.650114591291063</v>
      </c>
      <c r="DB66" s="1602">
        <f>'WNTR-Calcs'!L71</f>
        <v>-20.512640000000001</v>
      </c>
      <c r="DC66" s="1603">
        <f>'WNTR-Calcs'!M71</f>
        <v>-20.336960000000001</v>
      </c>
      <c r="DD66" s="1604">
        <f>'WNTR-Calcs'!S71</f>
        <v>-4.5140472169435446</v>
      </c>
      <c r="DE66" s="1605">
        <f>'WNTR-Calcs'!R71</f>
        <v>8.8423616838814958E-2</v>
      </c>
      <c r="DF66" s="1606">
        <f>'WNTR-Calcs'!AS71</f>
        <v>645.89752667375592</v>
      </c>
      <c r="DG66" s="1607">
        <f>'WNTR-Calcs'!AT71</f>
        <v>5.3824793889479659E-2</v>
      </c>
      <c r="DH66" s="1608">
        <f>'WNTR-Calcs'!AV71</f>
        <v>2092.7079864229695</v>
      </c>
      <c r="DI66" s="1647"/>
      <c r="DJ66" s="1737">
        <f>$BM$14</f>
        <v>96</v>
      </c>
      <c r="DK66" s="737"/>
      <c r="DL66" s="737"/>
      <c r="DR66" s="1737">
        <f>$BM$14</f>
        <v>96</v>
      </c>
      <c r="DS66" s="1520"/>
    </row>
    <row r="67" spans="2:123" ht="18" customHeight="1" thickBot="1">
      <c r="B67" s="1266" t="s">
        <v>761</v>
      </c>
      <c r="C67" s="755"/>
      <c r="D67" s="755"/>
      <c r="E67" s="790"/>
      <c r="F67" s="1270"/>
      <c r="G67" s="1290" t="s">
        <v>816</v>
      </c>
      <c r="H67" s="755"/>
      <c r="I67" s="755"/>
      <c r="J67" s="755"/>
      <c r="K67" s="755"/>
      <c r="L67" s="755"/>
      <c r="M67" s="755"/>
      <c r="N67" s="755"/>
      <c r="O67" s="790"/>
      <c r="P67" s="2022">
        <v>1.1000000000000001</v>
      </c>
      <c r="Q67" s="2005"/>
      <c r="R67" s="2004">
        <v>3.4</v>
      </c>
      <c r="S67" s="2005"/>
      <c r="T67" s="1962">
        <f t="shared" si="103"/>
        <v>1.1000000000000003E-4</v>
      </c>
      <c r="U67" s="1963"/>
      <c r="V67" s="1986"/>
      <c r="W67" s="1962">
        <f t="shared" si="104"/>
        <v>3.4000000000000008E-4</v>
      </c>
      <c r="X67" s="1963"/>
      <c r="Y67" s="1964"/>
      <c r="Z67" s="788"/>
      <c r="AA67" s="1979">
        <f t="shared" si="54"/>
        <v>0.17000000000000007</v>
      </c>
      <c r="AB67" s="1980"/>
      <c r="AC67" s="1981"/>
      <c r="AD67" s="1982">
        <f t="shared" si="53"/>
        <v>0.98852246787028697</v>
      </c>
      <c r="AE67" s="1983"/>
      <c r="AF67" s="1984"/>
      <c r="AG67" s="755"/>
      <c r="AH67" s="790"/>
      <c r="AI67" s="790"/>
      <c r="AJ67" s="1234"/>
      <c r="AK67" s="1232"/>
      <c r="AL67" s="1232"/>
      <c r="AM67" s="1232"/>
      <c r="AN67" s="1232"/>
      <c r="AO67" s="1232"/>
      <c r="AP67" s="1232"/>
      <c r="AQ67" s="1232"/>
      <c r="AR67" s="1232"/>
      <c r="AS67" s="1232"/>
      <c r="AT67" s="1232"/>
      <c r="AU67" s="1232"/>
      <c r="AV67" s="1235"/>
      <c r="AY67" s="1511" t="s">
        <v>26</v>
      </c>
      <c r="AZ67" s="1307" t="s">
        <v>27</v>
      </c>
      <c r="BA67" s="1308" t="s">
        <v>28</v>
      </c>
      <c r="BB67" s="1307" t="s">
        <v>29</v>
      </c>
      <c r="BC67" s="1309"/>
      <c r="BD67" s="1310" t="s">
        <v>934</v>
      </c>
      <c r="BE67" s="1309"/>
      <c r="BF67" s="1717" t="s">
        <v>932</v>
      </c>
      <c r="BG67" s="1309"/>
      <c r="BH67" s="1717" t="s">
        <v>933</v>
      </c>
      <c r="BI67" s="1311" t="s">
        <v>913</v>
      </c>
      <c r="BK67" s="1617">
        <f>BK69+1</f>
        <v>6</v>
      </c>
      <c r="BL67" s="1618">
        <v>1</v>
      </c>
      <c r="BM67" s="1619">
        <f t="shared" si="114"/>
        <v>7</v>
      </c>
      <c r="BN67" s="1620">
        <f t="shared" si="115"/>
        <v>629</v>
      </c>
      <c r="BO67" s="1621">
        <f>IF(BM67="XX", "XX", BN67*0.3048)</f>
        <v>191.7192</v>
      </c>
      <c r="BP67" s="1146">
        <f>IF( (BL67&gt;0),1, 0)</f>
        <v>1</v>
      </c>
      <c r="BS67" s="1595">
        <f t="shared" si="117"/>
        <v>6</v>
      </c>
      <c r="BT67" s="1596">
        <f t="shared" si="118"/>
        <v>1</v>
      </c>
      <c r="BU67" s="1597">
        <f t="shared" si="119"/>
        <v>7</v>
      </c>
      <c r="BV67" s="1598">
        <f t="shared" si="120"/>
        <v>629</v>
      </c>
      <c r="BW67" s="1599">
        <f t="shared" si="121"/>
        <v>191.7192</v>
      </c>
      <c r="BY67" s="1623">
        <f>'SMMR-Calcs'!H72</f>
        <v>29.327162888201347</v>
      </c>
      <c r="BZ67" s="1624">
        <f>'SMMR-Calcs'!K72</f>
        <v>5.9854851031321621</v>
      </c>
      <c r="CA67" s="1624">
        <f>'SMMR-Calcs'!L72</f>
        <v>94.540760000000006</v>
      </c>
      <c r="CB67" s="1625">
        <f>'SMMR-Calcs'!M72</f>
        <v>74.698139999999995</v>
      </c>
      <c r="CC67" s="1626">
        <f>'SMMR-Calcs'!S72</f>
        <v>38.537117876993243</v>
      </c>
      <c r="CD67" s="1627">
        <f>'SMMR-Calcs'!R72</f>
        <v>6.8566055712048116E-2</v>
      </c>
      <c r="CE67" s="1606">
        <f>'SMMR-Calcs'!AS72</f>
        <v>-458.36991851705392</v>
      </c>
      <c r="CF67" s="1607">
        <f>'SMMR-Calcs'!AT72</f>
        <v>-3.8197493209754491E-2</v>
      </c>
      <c r="CG67" s="1649">
        <f>'SMMR-Calcs'!AV72</f>
        <v>-1485.1185359952547</v>
      </c>
      <c r="CI67" s="1737">
        <f>$BM$13</f>
        <v>98</v>
      </c>
      <c r="CQ67" s="1737">
        <f>$BM$13</f>
        <v>98</v>
      </c>
      <c r="CT67" s="1610">
        <f t="shared" si="122"/>
        <v>6</v>
      </c>
      <c r="CU67" s="1611">
        <f t="shared" si="123"/>
        <v>1</v>
      </c>
      <c r="CV67" s="1612">
        <f t="shared" si="124"/>
        <v>7</v>
      </c>
      <c r="CW67" s="19">
        <f t="shared" si="125"/>
        <v>629</v>
      </c>
      <c r="CX67" s="1100">
        <f t="shared" si="126"/>
        <v>191.7192</v>
      </c>
      <c r="CY67" s="1648"/>
      <c r="CZ67" s="1623">
        <f>'WNTR-Calcs'!H72</f>
        <v>29.327162888201347</v>
      </c>
      <c r="DA67" s="1624">
        <f>'WNTR-Calcs'!K72</f>
        <v>11.478227654698243</v>
      </c>
      <c r="DB67" s="1624">
        <f>'WNTR-Calcs'!L72</f>
        <v>-20.459240000000001</v>
      </c>
      <c r="DC67" s="1625">
        <f>'WNTR-Calcs'!M72</f>
        <v>-20.301860000000001</v>
      </c>
      <c r="DD67" s="1626">
        <f>'WNTR-Calcs'!S72</f>
        <v>-4.5049372774284615</v>
      </c>
      <c r="DE67" s="1631">
        <f>'WNTR-Calcs'!R72</f>
        <v>8.8461514164282926E-2</v>
      </c>
      <c r="DF67" s="1628">
        <f>'WNTR-Calcs'!AS72</f>
        <v>657.04774752835192</v>
      </c>
      <c r="DG67" s="1629">
        <f>'WNTR-Calcs'!AT72</f>
        <v>5.4753978960695997E-2</v>
      </c>
      <c r="DH67" s="1630">
        <f>'WNTR-Calcs'!AV72</f>
        <v>2128.8347019918601</v>
      </c>
      <c r="DI67" s="1647"/>
      <c r="DJ67" s="1737">
        <f>$BM$13</f>
        <v>98</v>
      </c>
      <c r="DK67" s="737"/>
      <c r="DL67" s="737"/>
      <c r="DR67" s="1737">
        <f>$BM$13</f>
        <v>98</v>
      </c>
      <c r="DS67" s="1520"/>
    </row>
    <row r="68" spans="2:123" ht="18" customHeight="1" thickBot="1">
      <c r="B68" s="1266" t="s">
        <v>762</v>
      </c>
      <c r="C68" s="755"/>
      <c r="D68" s="755"/>
      <c r="E68" s="790"/>
      <c r="F68" s="1271"/>
      <c r="G68" s="1290" t="s">
        <v>820</v>
      </c>
      <c r="H68" s="755"/>
      <c r="I68" s="755"/>
      <c r="J68" s="755"/>
      <c r="K68" s="755"/>
      <c r="L68" s="755"/>
      <c r="M68" s="755"/>
      <c r="N68" s="755"/>
      <c r="O68" s="790"/>
      <c r="P68" s="2022">
        <v>0.55000000000000004</v>
      </c>
      <c r="Q68" s="2005"/>
      <c r="R68" s="2004">
        <v>1.72</v>
      </c>
      <c r="S68" s="2005"/>
      <c r="T68" s="1962">
        <f t="shared" si="103"/>
        <v>5.5000000000000016E-5</v>
      </c>
      <c r="U68" s="1963"/>
      <c r="V68" s="1986"/>
      <c r="W68" s="1962">
        <f t="shared" si="104"/>
        <v>1.7200000000000003E-4</v>
      </c>
      <c r="X68" s="1963"/>
      <c r="Y68" s="1964"/>
      <c r="Z68" s="788"/>
      <c r="AA68" s="755"/>
      <c r="AB68" s="755"/>
      <c r="AC68" s="755"/>
      <c r="AD68" s="755"/>
      <c r="AE68" s="755"/>
      <c r="AF68" s="755"/>
      <c r="AG68" s="1246"/>
      <c r="AH68" s="1922" t="s">
        <v>961</v>
      </c>
      <c r="AI68" s="932"/>
      <c r="AJ68" s="988"/>
      <c r="AK68" s="985" t="s">
        <v>89</v>
      </c>
      <c r="AL68" s="989"/>
      <c r="AM68" s="989"/>
      <c r="AN68" s="989"/>
      <c r="AO68" s="989"/>
      <c r="AP68" s="989"/>
      <c r="AQ68" s="989"/>
      <c r="AR68" s="989"/>
      <c r="AS68" s="989"/>
      <c r="AT68" s="989"/>
      <c r="AU68" s="989"/>
      <c r="AV68" s="990"/>
      <c r="AW68" s="1233"/>
      <c r="AY68" s="1718">
        <f>SUM(BB42:BI42)</f>
        <v>102</v>
      </c>
      <c r="AZ68" s="1719">
        <f>SUM(BB44:BI44)</f>
        <v>1309</v>
      </c>
      <c r="BA68" s="1720">
        <f>AZ68/2</f>
        <v>654.5</v>
      </c>
      <c r="BB68" s="1719">
        <f>BB9</f>
        <v>500</v>
      </c>
      <c r="BC68" s="1968">
        <f>SUM(BB45:BI45)</f>
        <v>2782800</v>
      </c>
      <c r="BD68" s="1968"/>
      <c r="BE68" s="1968">
        <f>SUM(BB56:BI56)</f>
        <v>834612.65391762299</v>
      </c>
      <c r="BF68" s="1968"/>
      <c r="BG68" s="1968">
        <f>SUM(BB57:BI57)</f>
        <v>3126.9736577264616</v>
      </c>
      <c r="BH68" s="1968"/>
      <c r="BI68" s="1721">
        <f>100*BG68/BE68</f>
        <v>0.37466166407238494</v>
      </c>
      <c r="BK68" s="1632" t="s">
        <v>127</v>
      </c>
      <c r="BL68" s="1633"/>
      <c r="BM68" s="1634" t="str">
        <f>BC14</f>
        <v>2-Rtl</v>
      </c>
      <c r="BN68" s="1635" t="s">
        <v>128</v>
      </c>
      <c r="BO68" s="1636">
        <f>BC42</f>
        <v>4</v>
      </c>
      <c r="BP68" s="1574">
        <f>SUM(BP69:BP71)</f>
        <v>3</v>
      </c>
      <c r="BQ68" s="1533"/>
      <c r="BR68" s="1533"/>
      <c r="BS68" s="1632" t="str">
        <f>BK68</f>
        <v>Section &gt;&gt;</v>
      </c>
      <c r="BT68" s="1633"/>
      <c r="BU68" s="1634" t="str">
        <f>BM68</f>
        <v>2-Rtl</v>
      </c>
      <c r="BV68" s="1635" t="str">
        <f>BN68</f>
        <v># flrs &gt;&gt;</v>
      </c>
      <c r="BW68" s="1636">
        <f>BO68</f>
        <v>4</v>
      </c>
      <c r="BX68" s="1575"/>
      <c r="BY68" s="1576" t="s">
        <v>14</v>
      </c>
      <c r="BZ68" s="1577" t="s">
        <v>116</v>
      </c>
      <c r="CA68" s="1577" t="s">
        <v>36</v>
      </c>
      <c r="CB68" s="1578" t="s">
        <v>37</v>
      </c>
      <c r="CC68" s="1579" t="s">
        <v>915</v>
      </c>
      <c r="CD68" s="1580" t="s">
        <v>914</v>
      </c>
      <c r="CE68" s="1581" t="s">
        <v>115</v>
      </c>
      <c r="CF68" s="1582" t="s">
        <v>931</v>
      </c>
      <c r="CG68" s="1583" t="s">
        <v>151</v>
      </c>
      <c r="CH68" s="1584"/>
      <c r="CI68" s="1737">
        <f>$BM$12</f>
        <v>100</v>
      </c>
      <c r="CJ68" s="1585"/>
      <c r="CK68" s="1585"/>
      <c r="CL68" s="1585"/>
      <c r="CM68" s="1585"/>
      <c r="CN68" s="1585"/>
      <c r="CO68" s="1585"/>
      <c r="CP68" s="1585"/>
      <c r="CQ68" s="1737">
        <f>$BM$12</f>
        <v>100</v>
      </c>
      <c r="CR68" s="1538"/>
      <c r="CS68" s="1538"/>
      <c r="CT68" s="1637" t="str">
        <f>BK68</f>
        <v>Section &gt;&gt;</v>
      </c>
      <c r="CU68" s="1638"/>
      <c r="CV68" s="1634" t="str">
        <f>BM68</f>
        <v>2-Rtl</v>
      </c>
      <c r="CW68" s="1639" t="str">
        <f>BN68</f>
        <v># flrs &gt;&gt;</v>
      </c>
      <c r="CX68" s="1640">
        <f>BO68</f>
        <v>4</v>
      </c>
      <c r="CY68" s="1575"/>
      <c r="CZ68" s="1576" t="s">
        <v>14</v>
      </c>
      <c r="DA68" s="1577" t="s">
        <v>116</v>
      </c>
      <c r="DB68" s="1577" t="s">
        <v>36</v>
      </c>
      <c r="DC68" s="1578" t="s">
        <v>37</v>
      </c>
      <c r="DD68" s="1579" t="s">
        <v>915</v>
      </c>
      <c r="DE68" s="1580" t="s">
        <v>914</v>
      </c>
      <c r="DF68" s="1641" t="s">
        <v>115</v>
      </c>
      <c r="DG68" s="1642" t="s">
        <v>931</v>
      </c>
      <c r="DH68" s="1643" t="s">
        <v>151</v>
      </c>
      <c r="DI68" s="1584"/>
      <c r="DJ68" s="1737">
        <f>$BM$12</f>
        <v>100</v>
      </c>
      <c r="DK68" s="1585"/>
      <c r="DL68" s="1585"/>
      <c r="DM68" s="1585"/>
      <c r="DN68" s="1585"/>
      <c r="DO68" s="1585"/>
      <c r="DP68" s="1585"/>
      <c r="DQ68" s="1585"/>
      <c r="DR68" s="1737">
        <f>$BM$12</f>
        <v>100</v>
      </c>
      <c r="DS68" s="1520"/>
    </row>
    <row r="69" spans="2:123" ht="18" customHeight="1" thickBot="1">
      <c r="B69" s="1281" t="s">
        <v>722</v>
      </c>
      <c r="C69" s="1260"/>
      <c r="D69" s="1260"/>
      <c r="E69" s="1260"/>
      <c r="F69" s="1260"/>
      <c r="G69" s="1261" t="s">
        <v>85</v>
      </c>
      <c r="H69" s="1260"/>
      <c r="I69" s="1260"/>
      <c r="J69" s="1260"/>
      <c r="K69" s="1260"/>
      <c r="L69" s="1260"/>
      <c r="M69" s="1260"/>
      <c r="N69" s="1260"/>
      <c r="O69" s="1268"/>
      <c r="P69" s="1999" t="s">
        <v>723</v>
      </c>
      <c r="Q69" s="2001"/>
      <c r="R69" s="2002" t="s">
        <v>907</v>
      </c>
      <c r="S69" s="2001"/>
      <c r="T69" s="1999" t="s">
        <v>723</v>
      </c>
      <c r="U69" s="2000"/>
      <c r="V69" s="2001"/>
      <c r="W69" s="2002" t="s">
        <v>907</v>
      </c>
      <c r="X69" s="2000"/>
      <c r="Y69" s="2003"/>
      <c r="Z69" s="788"/>
      <c r="AA69" s="755"/>
      <c r="AB69" s="755"/>
      <c r="AC69" s="755"/>
      <c r="AD69" s="755"/>
      <c r="AE69" s="755"/>
      <c r="AF69" s="755"/>
      <c r="AG69" s="888"/>
      <c r="AH69" s="1272"/>
      <c r="AJ69" s="895"/>
      <c r="AK69" s="896"/>
      <c r="AL69" s="896"/>
      <c r="AM69" s="897"/>
      <c r="AN69" s="896"/>
      <c r="AO69" s="896"/>
      <c r="AP69" s="896"/>
      <c r="AQ69" s="896"/>
      <c r="AR69" s="896"/>
      <c r="AS69" s="896"/>
      <c r="AT69" s="896"/>
      <c r="AU69" s="896"/>
      <c r="AV69" s="898"/>
      <c r="AW69" s="996"/>
      <c r="AY69" s="1726" t="s">
        <v>922</v>
      </c>
      <c r="AZ69" s="1727"/>
      <c r="BA69" s="1727"/>
      <c r="BB69" s="1727"/>
      <c r="BC69" s="1727"/>
      <c r="BD69" s="1727"/>
      <c r="BE69" s="1727"/>
      <c r="BF69" s="1727"/>
      <c r="BG69" s="1727"/>
      <c r="BH69" s="1727"/>
      <c r="BI69" s="1727"/>
      <c r="BK69" s="1591">
        <f>BK70+1</f>
        <v>5</v>
      </c>
      <c r="BL69" s="1592">
        <v>3</v>
      </c>
      <c r="BM69" s="1593">
        <f xml:space="preserve"> IF(BL69&lt;=0, "XX", BB$42+BL69)</f>
        <v>5</v>
      </c>
      <c r="BN69" s="1006">
        <f>IF(BM69="XX", "XX", $BB$9 + BB$44  + BL69*BC$20)</f>
        <v>594</v>
      </c>
      <c r="BO69" s="1594">
        <f>IF(BM69="XX", "XX", BN69*0.3048)</f>
        <v>181.05120000000002</v>
      </c>
      <c r="BP69" s="1146">
        <f t="shared" ref="BP69:BP71" si="130">IF( (BL69&gt;0),1, 0)</f>
        <v>1</v>
      </c>
      <c r="BQ69" s="1533"/>
      <c r="BR69" s="1533"/>
      <c r="BS69" s="1595">
        <f t="shared" ref="BS69:BS71" si="131">BK69</f>
        <v>5</v>
      </c>
      <c r="BT69" s="1596">
        <f t="shared" ref="BT69:BT71" si="132">BL69</f>
        <v>3</v>
      </c>
      <c r="BU69" s="1597">
        <f t="shared" ref="BU69:BU71" si="133">BM69</f>
        <v>5</v>
      </c>
      <c r="BV69" s="1598">
        <f t="shared" ref="BV69:BV71" si="134">BN69</f>
        <v>594</v>
      </c>
      <c r="BW69" s="1599">
        <f t="shared" ref="BW69:BW71" si="135">IF(BU69="XX", "XX", BV69*0.3048)</f>
        <v>181.05120000000002</v>
      </c>
      <c r="BX69" s="1600"/>
      <c r="BY69" s="1601">
        <f>'SMMR-Calcs'!H74</f>
        <v>29.364433587504429</v>
      </c>
      <c r="BZ69" s="1602">
        <f>'SMMR-Calcs'!K74</f>
        <v>5.7181054239877769</v>
      </c>
      <c r="CA69" s="1602">
        <f>'SMMR-Calcs'!L74</f>
        <v>94.665360000000007</v>
      </c>
      <c r="CB69" s="1603">
        <f>'SMMR-Calcs'!M74</f>
        <v>74.78004</v>
      </c>
      <c r="CC69" s="1604">
        <f>'SMMR-Calcs'!S74</f>
        <v>38.588150509517199</v>
      </c>
      <c r="CD69" s="1605">
        <f>'SMMR-Calcs'!R74</f>
        <v>6.8635774572613176E-2</v>
      </c>
      <c r="CE69" s="1606">
        <f>'SMMR-Calcs'!AS74</f>
        <v>-4907.6009616519004</v>
      </c>
      <c r="CF69" s="1607">
        <f>'SMMR-Calcs'!AT74</f>
        <v>-0.32501079729526183</v>
      </c>
      <c r="CG69" s="1608">
        <f>'SMMR-Calcs'!AV74</f>
        <v>-15900.627115752159</v>
      </c>
      <c r="CH69" s="1584"/>
      <c r="CI69" s="1737">
        <f>$BM$11</f>
        <v>102</v>
      </c>
      <c r="CJ69" s="1609"/>
      <c r="CK69" s="1609"/>
      <c r="CL69" s="1609"/>
      <c r="CM69" s="1609"/>
      <c r="CN69" s="1609"/>
      <c r="CO69" s="1609"/>
      <c r="CP69" s="1609"/>
      <c r="CQ69" s="1737">
        <f>$BM$11</f>
        <v>102</v>
      </c>
      <c r="CR69" s="1538"/>
      <c r="CS69" s="1538"/>
      <c r="CT69" s="1653">
        <f t="shared" ref="CT69:CT71" si="136">BK69</f>
        <v>5</v>
      </c>
      <c r="CU69" s="1654">
        <f t="shared" ref="CU69:CU71" si="137">BL69</f>
        <v>3</v>
      </c>
      <c r="CV69" s="1655">
        <f t="shared" ref="CV69:CV71" si="138">BM69</f>
        <v>5</v>
      </c>
      <c r="CW69" s="25">
        <f t="shared" ref="CW69:CW71" si="139">BN69</f>
        <v>594</v>
      </c>
      <c r="CX69" s="1103">
        <f t="shared" ref="CX69:CX71" si="140">BO69</f>
        <v>181.05120000000002</v>
      </c>
      <c r="CY69" s="1584"/>
      <c r="CZ69" s="1601">
        <f>'WNTR-Calcs'!H74</f>
        <v>29.364433587504429</v>
      </c>
      <c r="DA69" s="1602">
        <f>'WNTR-Calcs'!K74</f>
        <v>11.077158135981666</v>
      </c>
      <c r="DB69" s="1602">
        <f>'WNTR-Calcs'!L74</f>
        <v>-20.33464</v>
      </c>
      <c r="DC69" s="1603">
        <f>'WNTR-Calcs'!M74</f>
        <v>-20.21996</v>
      </c>
      <c r="DD69" s="1604">
        <f>'WNTR-Calcs'!S74</f>
        <v>-4.4836798061074301</v>
      </c>
      <c r="DE69" s="1605">
        <f>'WNTR-Calcs'!R74</f>
        <v>8.8549989902203072E-2</v>
      </c>
      <c r="DF69" s="1606">
        <f>'WNTR-Calcs'!AS74</f>
        <v>8250.6365069820858</v>
      </c>
      <c r="DG69" s="1607">
        <f>'WNTR-Calcs'!AT74</f>
        <v>0.54640668022549099</v>
      </c>
      <c r="DH69" s="1608">
        <f>'WNTR-Calcs'!AV74</f>
        <v>26732.062282621962</v>
      </c>
      <c r="DI69" s="1584"/>
      <c r="DJ69" s="1737">
        <f>$BM$11</f>
        <v>102</v>
      </c>
      <c r="DK69" s="1609"/>
      <c r="DL69" s="1609"/>
      <c r="DM69" s="1609"/>
      <c r="DN69" s="1609"/>
      <c r="DO69" s="1609"/>
      <c r="DP69" s="1609"/>
      <c r="DQ69" s="1609"/>
      <c r="DR69" s="1737">
        <f>$BM$11</f>
        <v>102</v>
      </c>
      <c r="DS69" s="1520"/>
    </row>
    <row r="70" spans="2:123" ht="18" customHeight="1" thickTop="1" thickBot="1">
      <c r="B70" s="1262" t="s">
        <v>908</v>
      </c>
      <c r="C70" s="1258"/>
      <c r="D70" s="1258"/>
      <c r="E70" s="1258"/>
      <c r="F70" s="1258"/>
      <c r="G70" s="1259"/>
      <c r="H70" s="1258"/>
      <c r="I70" s="1258"/>
      <c r="J70" s="1258"/>
      <c r="K70" s="1282"/>
      <c r="L70" s="1258"/>
      <c r="M70" s="1284" t="s">
        <v>910</v>
      </c>
      <c r="N70" s="1283"/>
      <c r="O70" s="1269"/>
      <c r="P70" s="1273"/>
      <c r="Q70" s="1274"/>
      <c r="R70" s="1275"/>
      <c r="S70" s="1276"/>
      <c r="T70" s="1277" t="s">
        <v>909</v>
      </c>
      <c r="U70" s="1278"/>
      <c r="V70" s="1285"/>
      <c r="W70" s="1286"/>
      <c r="X70" s="1279"/>
      <c r="Y70" s="1280"/>
      <c r="Z70" s="788"/>
      <c r="AB70" s="754"/>
      <c r="AC70" s="754"/>
      <c r="AD70" s="754"/>
      <c r="AE70" s="754"/>
      <c r="AF70" s="754"/>
      <c r="AG70" s="1240"/>
      <c r="AH70" s="1921" t="s">
        <v>963</v>
      </c>
      <c r="AI70" s="1906"/>
      <c r="AJ70" s="1241"/>
      <c r="AK70" s="1242"/>
      <c r="AL70" s="1242"/>
      <c r="AM70" s="1243"/>
      <c r="AN70" s="1242"/>
      <c r="AO70" s="1242"/>
      <c r="AP70" s="1242"/>
      <c r="AQ70" s="1242"/>
      <c r="AR70" s="1244" t="s">
        <v>726</v>
      </c>
      <c r="AS70" s="1242"/>
      <c r="AT70" s="1242"/>
      <c r="AU70" s="1242"/>
      <c r="AV70" s="1245"/>
      <c r="AW70" s="1237"/>
      <c r="AY70" s="1707"/>
      <c r="AZ70" s="1708"/>
      <c r="BA70" s="1709" t="s">
        <v>741</v>
      </c>
      <c r="BB70" s="1728" t="s">
        <v>739</v>
      </c>
      <c r="BC70" s="1729" t="s">
        <v>738</v>
      </c>
      <c r="BD70" s="1729" t="s">
        <v>737</v>
      </c>
      <c r="BE70" s="1729" t="s">
        <v>736</v>
      </c>
      <c r="BF70" s="1729" t="s">
        <v>735</v>
      </c>
      <c r="BG70" s="1729" t="s">
        <v>734</v>
      </c>
      <c r="BH70" s="1729" t="s">
        <v>733</v>
      </c>
      <c r="BI70" s="1730" t="s">
        <v>732</v>
      </c>
      <c r="BK70" s="1613">
        <f>BK71+1</f>
        <v>4</v>
      </c>
      <c r="BL70" s="1614">
        <v>2</v>
      </c>
      <c r="BM70" s="1615">
        <f xml:space="preserve"> IF(BL70&lt;=0, "XX", BB$42+BL70)</f>
        <v>4</v>
      </c>
      <c r="BN70" s="12">
        <f>IF(BM70="XX", "XX", $BB$9 + BB$44  + BL70*BC$20)</f>
        <v>576</v>
      </c>
      <c r="BO70" s="1616">
        <f>IF(BM70="XX", "XX", BN70*0.3048)</f>
        <v>175.56480000000002</v>
      </c>
      <c r="BP70" s="1146">
        <f t="shared" si="130"/>
        <v>1</v>
      </c>
      <c r="BQ70" s="1533"/>
      <c r="BR70" s="1533"/>
      <c r="BS70" s="1595">
        <f t="shared" si="131"/>
        <v>4</v>
      </c>
      <c r="BT70" s="1596">
        <f t="shared" si="132"/>
        <v>2</v>
      </c>
      <c r="BU70" s="1597">
        <f t="shared" si="133"/>
        <v>4</v>
      </c>
      <c r="BV70" s="1598">
        <f t="shared" si="134"/>
        <v>576</v>
      </c>
      <c r="BW70" s="1599">
        <f t="shared" si="135"/>
        <v>175.56480000000002</v>
      </c>
      <c r="BX70" s="1600"/>
      <c r="BY70" s="1601">
        <f>'SMMR-Calcs'!H75</f>
        <v>29.383616304471516</v>
      </c>
      <c r="BZ70" s="1602">
        <f>'SMMR-Calcs'!K75</f>
        <v>5.5805958747135218</v>
      </c>
      <c r="CA70" s="1602">
        <f>'SMMR-Calcs'!L75</f>
        <v>94.729439999999997</v>
      </c>
      <c r="CB70" s="1603">
        <f>'SMMR-Calcs'!M75</f>
        <v>74.822159999999997</v>
      </c>
      <c r="CC70" s="1604">
        <f>'SMMR-Calcs'!S75</f>
        <v>38.614409718717667</v>
      </c>
      <c r="CD70" s="1605">
        <f>'SMMR-Calcs'!R75</f>
        <v>6.8671649476040819E-2</v>
      </c>
      <c r="CE70" s="1606">
        <f>'SMMR-Calcs'!AS75</f>
        <v>-4962.3480344713817</v>
      </c>
      <c r="CF70" s="1607">
        <f>'SMMR-Calcs'!AT75</f>
        <v>-0.32863647711839317</v>
      </c>
      <c r="CG70" s="1608">
        <f>'SMMR-Calcs'!AV75</f>
        <v>-16078.007631687276</v>
      </c>
      <c r="CH70" s="1584"/>
      <c r="CI70" s="1737" t="str">
        <f>$BM$10</f>
        <v>XX</v>
      </c>
      <c r="CJ70" s="1609"/>
      <c r="CK70" s="1609"/>
      <c r="CL70" s="1609"/>
      <c r="CM70" s="1609"/>
      <c r="CN70" s="1609"/>
      <c r="CO70" s="1609"/>
      <c r="CP70" s="1609"/>
      <c r="CQ70" s="1737" t="str">
        <f>$BM$10</f>
        <v>XX</v>
      </c>
      <c r="CR70" s="1538"/>
      <c r="CS70" s="1538"/>
      <c r="CT70" s="1610">
        <f t="shared" si="136"/>
        <v>4</v>
      </c>
      <c r="CU70" s="1611">
        <f t="shared" si="137"/>
        <v>2</v>
      </c>
      <c r="CV70" s="1612">
        <f t="shared" si="138"/>
        <v>4</v>
      </c>
      <c r="CW70" s="19">
        <f t="shared" si="139"/>
        <v>576</v>
      </c>
      <c r="CX70" s="1100">
        <f t="shared" si="140"/>
        <v>175.56480000000002</v>
      </c>
      <c r="CY70" s="1584"/>
      <c r="CZ70" s="1601">
        <f>'WNTR-Calcs'!H75</f>
        <v>29.383616304471516</v>
      </c>
      <c r="DA70" s="1602">
        <f>'WNTR-Calcs'!K75</f>
        <v>10.870893812070282</v>
      </c>
      <c r="DB70" s="1602">
        <f>'WNTR-Calcs'!L75</f>
        <v>-20.27056</v>
      </c>
      <c r="DC70" s="1603">
        <f>'WNTR-Calcs'!M75</f>
        <v>-20.17784</v>
      </c>
      <c r="DD70" s="1604">
        <f>'WNTR-Calcs'!S75</f>
        <v>-4.4727468753098494</v>
      </c>
      <c r="DE70" s="1605">
        <f>'WNTR-Calcs'!R75</f>
        <v>8.8595518237872845E-2</v>
      </c>
      <c r="DF70" s="1606">
        <f>'WNTR-Calcs'!AS75</f>
        <v>8393.1545974589626</v>
      </c>
      <c r="DG70" s="1607">
        <f>'WNTR-Calcs'!AT75</f>
        <v>0.55584508375031561</v>
      </c>
      <c r="DH70" s="1608">
        <f>'WNTR-Calcs'!AV75</f>
        <v>27193.820895767039</v>
      </c>
      <c r="DI70" s="1584"/>
      <c r="DJ70" s="1737" t="str">
        <f>$BM$10</f>
        <v>XX</v>
      </c>
      <c r="DK70" s="1609"/>
      <c r="DL70" s="1609"/>
      <c r="DM70" s="1609"/>
      <c r="DN70" s="1609"/>
      <c r="DO70" s="1609"/>
      <c r="DP70" s="1609"/>
      <c r="DQ70" s="1609"/>
      <c r="DR70" s="1737" t="str">
        <f>$BM$10</f>
        <v>XX</v>
      </c>
      <c r="DS70" s="1520"/>
    </row>
    <row r="71" spans="2:123" ht="18" customHeight="1" thickTop="1" thickBot="1">
      <c r="B71" s="1266" t="s">
        <v>843</v>
      </c>
      <c r="C71" s="755"/>
      <c r="D71" s="755"/>
      <c r="E71" s="790"/>
      <c r="F71" s="1293"/>
      <c r="G71" s="1290" t="s">
        <v>844</v>
      </c>
      <c r="H71" s="755"/>
      <c r="I71" s="755"/>
      <c r="J71" s="755"/>
      <c r="K71" s="755"/>
      <c r="L71" s="755"/>
      <c r="M71" s="755"/>
      <c r="N71" s="755"/>
      <c r="O71" s="790"/>
      <c r="P71" s="2014">
        <v>1.7</v>
      </c>
      <c r="Q71" s="2007"/>
      <c r="R71" s="2006"/>
      <c r="S71" s="2007"/>
      <c r="T71" s="1962">
        <f t="shared" ref="T71:T74" si="141">P71*$B$28</f>
        <v>1.7000000000000004E-4</v>
      </c>
      <c r="U71" s="1963"/>
      <c r="V71" s="1986"/>
      <c r="W71" s="1962">
        <f t="shared" ref="W71:W74" si="142">R71*$B$28</f>
        <v>0</v>
      </c>
      <c r="X71" s="1963"/>
      <c r="Y71" s="1964"/>
      <c r="Z71" s="788"/>
      <c r="AA71" s="755"/>
      <c r="AB71" s="755"/>
      <c r="AC71" s="755"/>
      <c r="AD71" s="755"/>
      <c r="AE71" s="755"/>
      <c r="AF71" s="755"/>
      <c r="AG71" s="1910"/>
      <c r="AH71" s="1911"/>
      <c r="AI71" s="1238"/>
      <c r="AJ71" s="1003"/>
      <c r="AK71" s="1003"/>
      <c r="AL71" s="1003"/>
      <c r="AM71" s="1003"/>
      <c r="AN71" s="1003"/>
      <c r="AO71" s="1003"/>
      <c r="AP71" s="1003"/>
      <c r="AQ71" s="1003"/>
      <c r="AR71" s="1003"/>
      <c r="AS71" s="1003"/>
      <c r="AT71" s="1003"/>
      <c r="AU71" s="1003"/>
      <c r="AV71" s="1004"/>
      <c r="AW71" s="1916"/>
      <c r="AY71" s="1710"/>
      <c r="AZ71" s="1484"/>
      <c r="BA71" s="1522" t="s">
        <v>905</v>
      </c>
      <c r="BB71" s="1705">
        <f>'SMMR-Calcs'!AR77</f>
        <v>15092.826492749378</v>
      </c>
      <c r="BC71" s="1706">
        <f>'SMMR-Calcs'!AR73</f>
        <v>19849.039517698602</v>
      </c>
      <c r="BD71" s="1706">
        <f>'SMMR-Calcs'!AR66</f>
        <v>2675.9955150898577</v>
      </c>
      <c r="BE71" s="1706">
        <f>'SMMR-Calcs'!AR48</f>
        <v>12107.53193810769</v>
      </c>
      <c r="BF71" s="1706">
        <f>'SMMR-Calcs'!AR41</f>
        <v>1222.4838192991342</v>
      </c>
      <c r="BG71" s="1706">
        <f>'SMMR-Calcs'!AR27</f>
        <v>11481.722519413153</v>
      </c>
      <c r="BH71" s="1706">
        <f>'SMMR-Calcs'!AR14</f>
        <v>17888.073683196952</v>
      </c>
      <c r="BI71" s="1711">
        <f>'SMMR-Calcs'!AR10</f>
        <v>2511.9370787996149</v>
      </c>
      <c r="BK71" s="1617">
        <f>BK73+1</f>
        <v>3</v>
      </c>
      <c r="BL71" s="1618">
        <v>1</v>
      </c>
      <c r="BM71" s="1619">
        <f xml:space="preserve"> IF(BL71&lt;=0, "XX", BB$42+BL71)</f>
        <v>3</v>
      </c>
      <c r="BN71" s="1620">
        <f>IF(BM71="XX", "XX", $BB$9 + BB$44  + BL71*BC$20)</f>
        <v>558</v>
      </c>
      <c r="BO71" s="1621">
        <f>IF(BM71="XX", "XX", BN71*0.3048)</f>
        <v>170.07840000000002</v>
      </c>
      <c r="BP71" s="1146">
        <f t="shared" si="130"/>
        <v>1</v>
      </c>
      <c r="BQ71" s="1533"/>
      <c r="BR71" s="1533"/>
      <c r="BS71" s="1595">
        <f t="shared" si="131"/>
        <v>3</v>
      </c>
      <c r="BT71" s="1596">
        <f t="shared" si="132"/>
        <v>1</v>
      </c>
      <c r="BU71" s="1597">
        <f t="shared" si="133"/>
        <v>3</v>
      </c>
      <c r="BV71" s="1598">
        <f t="shared" si="134"/>
        <v>558</v>
      </c>
      <c r="BW71" s="1599">
        <f t="shared" si="135"/>
        <v>170.07840000000002</v>
      </c>
      <c r="BX71" s="1584"/>
      <c r="BY71" s="1623">
        <f>'SMMR-Calcs'!H76</f>
        <v>29.402809167119251</v>
      </c>
      <c r="BZ71" s="1624">
        <f>'SMMR-Calcs'!K76</f>
        <v>5.4430863254392667</v>
      </c>
      <c r="CA71" s="1624">
        <f>'SMMR-Calcs'!L76</f>
        <v>94.793520000000001</v>
      </c>
      <c r="CB71" s="1625">
        <f>'SMMR-Calcs'!M76</f>
        <v>74.864279999999994</v>
      </c>
      <c r="CC71" s="1626">
        <f>'SMMR-Calcs'!S76</f>
        <v>38.640678343697729</v>
      </c>
      <c r="CD71" s="1627">
        <f>'SMMR-Calcs'!R76</f>
        <v>6.870753762032647E-2</v>
      </c>
      <c r="CE71" s="1628">
        <f>'SMMR-Calcs'!AS76</f>
        <v>-5016.8306421506668</v>
      </c>
      <c r="CF71" s="1629">
        <f>'SMMR-Calcs'!AT76</f>
        <v>-0.33224464247228724</v>
      </c>
      <c r="CG71" s="1630">
        <f>'SMMR-Calcs'!AV76</f>
        <v>-16254.531280568162</v>
      </c>
      <c r="CH71" s="1584"/>
      <c r="CI71" s="1525" t="str">
        <f>$BM$9</f>
        <v>7-Apt</v>
      </c>
      <c r="CJ71" s="1609"/>
      <c r="CK71" s="1609"/>
      <c r="CL71" s="1609"/>
      <c r="CM71" s="1609"/>
      <c r="CN71" s="1609"/>
      <c r="CO71" s="1609"/>
      <c r="CP71" s="1609"/>
      <c r="CQ71" s="1525" t="str">
        <f>$BM$9</f>
        <v>7-Apt</v>
      </c>
      <c r="CR71" s="1538"/>
      <c r="CS71" s="1538"/>
      <c r="CT71" s="1656">
        <f t="shared" si="136"/>
        <v>3</v>
      </c>
      <c r="CU71" s="1657">
        <f t="shared" si="137"/>
        <v>1</v>
      </c>
      <c r="CV71" s="1658">
        <f t="shared" si="138"/>
        <v>3</v>
      </c>
      <c r="CW71" s="1659">
        <f t="shared" si="139"/>
        <v>558</v>
      </c>
      <c r="CX71" s="1660">
        <f t="shared" si="140"/>
        <v>170.07840000000002</v>
      </c>
      <c r="CY71" s="1584"/>
      <c r="CZ71" s="1623">
        <f>'WNTR-Calcs'!H76</f>
        <v>29.402809167119251</v>
      </c>
      <c r="DA71" s="1624">
        <f>'WNTR-Calcs'!K76</f>
        <v>10.6646294881589</v>
      </c>
      <c r="DB71" s="1624">
        <f>'WNTR-Calcs'!L76</f>
        <v>-20.206479999999999</v>
      </c>
      <c r="DC71" s="1625">
        <f>'WNTR-Calcs'!M76</f>
        <v>-20.135719999999999</v>
      </c>
      <c r="DD71" s="1626">
        <f>'WNTR-Calcs'!S76</f>
        <v>-4.4618135923747788</v>
      </c>
      <c r="DE71" s="1631">
        <f>'WNTR-Calcs'!R76</f>
        <v>8.8641064598695446E-2</v>
      </c>
      <c r="DF71" s="1628">
        <f>'WNTR-Calcs'!AS76</f>
        <v>8533.0897541548147</v>
      </c>
      <c r="DG71" s="1629">
        <f>'WNTR-Calcs'!AT76</f>
        <v>0.56511242989413235</v>
      </c>
      <c r="DH71" s="1630">
        <f>'WNTR-Calcs'!AV76</f>
        <v>27647.210803461599</v>
      </c>
      <c r="DI71" s="1584"/>
      <c r="DJ71" s="1525" t="str">
        <f>$BM$9</f>
        <v>7-Apt</v>
      </c>
      <c r="DK71" s="1609"/>
      <c r="DL71" s="1609"/>
      <c r="DM71" s="1609"/>
      <c r="DN71" s="1609"/>
      <c r="DO71" s="1609"/>
      <c r="DP71" s="1609"/>
      <c r="DQ71" s="1609"/>
      <c r="DR71" s="1525" t="str">
        <f>$BM$9</f>
        <v>7-Apt</v>
      </c>
      <c r="DS71" s="1521"/>
    </row>
    <row r="72" spans="2:123" ht="18" customHeight="1">
      <c r="B72" s="1266" t="s">
        <v>845</v>
      </c>
      <c r="C72" s="755"/>
      <c r="D72" s="755"/>
      <c r="E72" s="790"/>
      <c r="F72" s="1270"/>
      <c r="G72" s="1290" t="s">
        <v>850</v>
      </c>
      <c r="H72" s="755"/>
      <c r="I72" s="755"/>
      <c r="J72" s="755"/>
      <c r="K72" s="755"/>
      <c r="L72" s="755"/>
      <c r="M72" s="755"/>
      <c r="N72" s="755"/>
      <c r="O72" s="790"/>
      <c r="P72" s="2014">
        <v>22</v>
      </c>
      <c r="Q72" s="2007"/>
      <c r="R72" s="2006"/>
      <c r="S72" s="2007"/>
      <c r="T72" s="1962">
        <f t="shared" si="141"/>
        <v>2.2000000000000006E-3</v>
      </c>
      <c r="U72" s="1963"/>
      <c r="V72" s="1986"/>
      <c r="W72" s="1962">
        <f t="shared" si="142"/>
        <v>0</v>
      </c>
      <c r="X72" s="1963"/>
      <c r="Y72" s="1964"/>
      <c r="Z72" s="788"/>
      <c r="AA72" s="1940" t="s">
        <v>975</v>
      </c>
      <c r="AB72" s="755"/>
      <c r="AC72" s="871"/>
      <c r="AD72" s="755"/>
      <c r="AE72" s="755"/>
      <c r="AF72" s="755"/>
      <c r="AG72" s="1912"/>
      <c r="AH72" s="1913"/>
      <c r="AI72" s="925"/>
      <c r="AJ72" s="926"/>
      <c r="AK72" s="926"/>
      <c r="AL72" s="926"/>
      <c r="AM72" s="927"/>
      <c r="AN72" s="926"/>
      <c r="AO72" s="926"/>
      <c r="AP72" s="926"/>
      <c r="AQ72" s="926"/>
      <c r="AR72" s="926"/>
      <c r="AS72" s="926"/>
      <c r="AT72" s="926"/>
      <c r="AU72" s="926"/>
      <c r="AV72" s="1239"/>
      <c r="AW72" s="1917"/>
      <c r="AY72" s="1712"/>
      <c r="AZ72" s="1470"/>
      <c r="BA72" s="1523" t="s">
        <v>896</v>
      </c>
      <c r="BB72" s="1722">
        <f t="shared" ref="BB72:BI72" si="143">BB71/BB56</f>
        <v>0.38408296258343577</v>
      </c>
      <c r="BC72" s="1722">
        <f t="shared" si="143"/>
        <v>0.3286306389619808</v>
      </c>
      <c r="BD72" s="1722">
        <f t="shared" si="143"/>
        <v>3.7166604376248025E-2</v>
      </c>
      <c r="BE72" s="1722">
        <f t="shared" si="143"/>
        <v>3.0381240434878273E-2</v>
      </c>
      <c r="BF72" s="1722">
        <f t="shared" si="143"/>
        <v>2.5468412902065297E-2</v>
      </c>
      <c r="BG72" s="1722">
        <f t="shared" si="143"/>
        <v>9.656635761186283E-2</v>
      </c>
      <c r="BH72" s="1722">
        <f t="shared" si="143"/>
        <v>0.23507281319265064</v>
      </c>
      <c r="BI72" s="1723">
        <f t="shared" si="143"/>
        <v>0.11736944611060933</v>
      </c>
      <c r="BK72" s="1632" t="s">
        <v>127</v>
      </c>
      <c r="BL72" s="1633"/>
      <c r="BM72" s="1634" t="str">
        <f>BB14</f>
        <v>1-Grd</v>
      </c>
      <c r="BN72" s="1635" t="s">
        <v>128</v>
      </c>
      <c r="BO72" s="1636">
        <f>BB42</f>
        <v>2</v>
      </c>
      <c r="BP72" s="1574">
        <f>SUM(BP73:BP74)</f>
        <v>2</v>
      </c>
      <c r="BQ72" s="1533"/>
      <c r="BR72" s="1533"/>
      <c r="BS72" s="1632" t="str">
        <f>BK72</f>
        <v>Section &gt;&gt;</v>
      </c>
      <c r="BT72" s="1633"/>
      <c r="BU72" s="1634" t="str">
        <f>BM72</f>
        <v>1-Grd</v>
      </c>
      <c r="BV72" s="1635" t="str">
        <f>BN72</f>
        <v># flrs &gt;&gt;</v>
      </c>
      <c r="BW72" s="1636">
        <f>BO72</f>
        <v>2</v>
      </c>
      <c r="BX72" s="1575"/>
      <c r="BY72" s="1576" t="s">
        <v>14</v>
      </c>
      <c r="BZ72" s="1577" t="s">
        <v>116</v>
      </c>
      <c r="CA72" s="1577" t="s">
        <v>36</v>
      </c>
      <c r="CB72" s="1578" t="s">
        <v>37</v>
      </c>
      <c r="CC72" s="1579" t="s">
        <v>915</v>
      </c>
      <c r="CD72" s="1580" t="s">
        <v>914</v>
      </c>
      <c r="CE72" s="1581" t="s">
        <v>115</v>
      </c>
      <c r="CF72" s="1582" t="s">
        <v>931</v>
      </c>
      <c r="CG72" s="1583" t="s">
        <v>151</v>
      </c>
      <c r="CH72" s="1584"/>
      <c r="CI72" s="1737">
        <f>$BM$8</f>
        <v>100</v>
      </c>
      <c r="CJ72" s="1609"/>
      <c r="CK72" s="1609"/>
      <c r="CL72" s="1609"/>
      <c r="CM72" s="1609"/>
      <c r="CN72" s="1609"/>
      <c r="CO72" s="1609"/>
      <c r="CP72" s="1609"/>
      <c r="CQ72" s="1737">
        <f>$BM$8</f>
        <v>100</v>
      </c>
      <c r="CR72" s="1538"/>
      <c r="CS72" s="1538"/>
      <c r="CT72" s="1637" t="str">
        <f>BK72</f>
        <v>Section &gt;&gt;</v>
      </c>
      <c r="CU72" s="1638"/>
      <c r="CV72" s="1634" t="str">
        <f>BM72</f>
        <v>1-Grd</v>
      </c>
      <c r="CW72" s="1639" t="str">
        <f>BN72</f>
        <v># flrs &gt;&gt;</v>
      </c>
      <c r="CX72" s="1640">
        <f>BO72</f>
        <v>2</v>
      </c>
      <c r="CY72" s="1575"/>
      <c r="CZ72" s="1576" t="s">
        <v>14</v>
      </c>
      <c r="DA72" s="1577" t="s">
        <v>116</v>
      </c>
      <c r="DB72" s="1577" t="s">
        <v>36</v>
      </c>
      <c r="DC72" s="1578" t="s">
        <v>37</v>
      </c>
      <c r="DD72" s="1579" t="s">
        <v>915</v>
      </c>
      <c r="DE72" s="1580" t="s">
        <v>914</v>
      </c>
      <c r="DF72" s="1641" t="s">
        <v>115</v>
      </c>
      <c r="DG72" s="1642" t="s">
        <v>931</v>
      </c>
      <c r="DH72" s="1643" t="s">
        <v>151</v>
      </c>
      <c r="DI72" s="1584"/>
      <c r="DJ72" s="1737">
        <f>$BM$8</f>
        <v>100</v>
      </c>
      <c r="DK72" s="1609"/>
      <c r="DL72" s="1609"/>
      <c r="DM72" s="1609"/>
      <c r="DN72" s="1609"/>
      <c r="DO72" s="1609"/>
      <c r="DP72" s="1609"/>
      <c r="DQ72" s="1609"/>
      <c r="DR72" s="1737">
        <f>$BM$8</f>
        <v>100</v>
      </c>
      <c r="DS72" s="1520"/>
    </row>
    <row r="73" spans="2:123" ht="18" customHeight="1">
      <c r="B73" s="1266" t="s">
        <v>846</v>
      </c>
      <c r="C73" s="755"/>
      <c r="D73" s="755"/>
      <c r="E73" s="790"/>
      <c r="F73" s="1270"/>
      <c r="G73" s="1290" t="s">
        <v>847</v>
      </c>
      <c r="H73" s="755"/>
      <c r="I73" s="755"/>
      <c r="J73" s="755"/>
      <c r="K73" s="755"/>
      <c r="L73" s="755"/>
      <c r="M73" s="755"/>
      <c r="N73" s="755"/>
      <c r="O73" s="790"/>
      <c r="P73" s="2014">
        <v>6</v>
      </c>
      <c r="Q73" s="2007"/>
      <c r="R73" s="2006"/>
      <c r="S73" s="2007"/>
      <c r="T73" s="1962">
        <f t="shared" si="141"/>
        <v>6.0000000000000006E-4</v>
      </c>
      <c r="U73" s="1963"/>
      <c r="V73" s="1986"/>
      <c r="W73" s="1962">
        <f t="shared" si="142"/>
        <v>0</v>
      </c>
      <c r="X73" s="1963"/>
      <c r="Y73" s="1964"/>
      <c r="Z73" s="788"/>
      <c r="AA73" s="755"/>
      <c r="AB73" s="755"/>
      <c r="AC73" s="871"/>
      <c r="AD73" s="755"/>
      <c r="AE73" s="755"/>
      <c r="AF73" s="1908"/>
      <c r="AG73" s="1909"/>
      <c r="AH73" s="1914"/>
      <c r="AI73" s="928"/>
      <c r="AJ73" s="929"/>
      <c r="AK73" s="929"/>
      <c r="AL73" s="929"/>
      <c r="AM73" s="930"/>
      <c r="AN73" s="929"/>
      <c r="AO73" s="929"/>
      <c r="AP73" s="929"/>
      <c r="AQ73" s="929"/>
      <c r="AR73" s="929"/>
      <c r="AS73" s="929"/>
      <c r="AT73" s="929"/>
      <c r="AU73" s="929"/>
      <c r="AV73" s="931"/>
      <c r="AW73" s="1918"/>
      <c r="AY73" s="1713"/>
      <c r="AZ73" s="1484"/>
      <c r="BA73" s="1522" t="s">
        <v>906</v>
      </c>
      <c r="BB73" s="1705">
        <f>'WNTR-Calcs'!AR77</f>
        <v>30122.179406359777</v>
      </c>
      <c r="BC73" s="1706">
        <f>'WNTR-Calcs'!AR73</f>
        <v>33569.174478127818</v>
      </c>
      <c r="BD73" s="1706">
        <f>'WNTR-Calcs'!AR66</f>
        <v>3701.5704557461336</v>
      </c>
      <c r="BE73" s="1706">
        <f>'WNTR-Calcs'!AR48</f>
        <v>10926.161502555089</v>
      </c>
      <c r="BF73" s="1706">
        <f>'WNTR-Calcs'!AR41</f>
        <v>2379.0978352203238</v>
      </c>
      <c r="BG73" s="1706">
        <f>'WNTR-Calcs'!AR27</f>
        <v>64387.132738010936</v>
      </c>
      <c r="BH73" s="1706">
        <f>'WNTR-Calcs'!AR14</f>
        <v>68538.016990344127</v>
      </c>
      <c r="BI73" s="1711">
        <f>'WNTR-Calcs'!AR10</f>
        <v>12039.869643632293</v>
      </c>
      <c r="BK73" s="1591">
        <f>BK74+1</f>
        <v>2</v>
      </c>
      <c r="BL73" s="1592">
        <v>2</v>
      </c>
      <c r="BM73" s="1661">
        <f>IF(BL73&lt;=0,"XX",BL73)</f>
        <v>2</v>
      </c>
      <c r="BN73" s="1006">
        <f>IF(BM73="XX", "XX", $BB$9 + (BL73-1)*BB$20)</f>
        <v>520</v>
      </c>
      <c r="BO73" s="1594">
        <f>IF(BM73="XX", "XX", BN73*0.3048)</f>
        <v>158.49600000000001</v>
      </c>
      <c r="BP73" s="1146">
        <f t="shared" ref="BP73:BP74" si="144">IF( (BL73&gt;0),1, 0)</f>
        <v>1</v>
      </c>
      <c r="BQ73" s="1533"/>
      <c r="BR73" s="1533"/>
      <c r="BS73" s="1595">
        <f>BK73</f>
        <v>2</v>
      </c>
      <c r="BT73" s="1596">
        <f t="shared" ref="BT73:BV73" si="145">BL73</f>
        <v>2</v>
      </c>
      <c r="BU73" s="1597">
        <f t="shared" si="145"/>
        <v>2</v>
      </c>
      <c r="BV73" s="1598">
        <f t="shared" si="145"/>
        <v>520</v>
      </c>
      <c r="BW73" s="1662">
        <f>IF(BU73="XX", "XX", BV73*0.3048)</f>
        <v>158.49600000000001</v>
      </c>
      <c r="BX73" s="1600"/>
      <c r="BY73" s="1601">
        <f>'SMMR-Calcs'!H78</f>
        <v>29.443360769095996</v>
      </c>
      <c r="BZ73" s="1602">
        <f>'SMMR-Calcs'!K78</f>
        <v>5.1527883880825058</v>
      </c>
      <c r="CA73" s="1602">
        <f>'SMMR-Calcs'!L78</f>
        <v>94.928799999999995</v>
      </c>
      <c r="CB73" s="1603">
        <f>'SMMR-Calcs'!M78</f>
        <v>74.953199999999995</v>
      </c>
      <c r="CC73" s="1604">
        <f>'SMMR-Calcs'!S78</f>
        <v>38.696165266505524</v>
      </c>
      <c r="CD73" s="1605">
        <f>'SMMR-Calcs'!R78</f>
        <v>6.8783344972247251E-2</v>
      </c>
      <c r="CE73" s="1606">
        <f>'SMMR-Calcs'!AS78</f>
        <v>-7490.6939016382075</v>
      </c>
      <c r="CF73" s="1607">
        <f>'SMMR-Calcs'!AT78</f>
        <v>-0.38124706554190063</v>
      </c>
      <c r="CG73" s="1608">
        <f>'SMMR-Calcs'!AV78</f>
        <v>-24269.848241307795</v>
      </c>
      <c r="CH73" s="1584"/>
      <c r="CI73" s="1737">
        <f>$BM$7</f>
        <v>101</v>
      </c>
      <c r="CJ73" s="1609"/>
      <c r="CK73" s="1609"/>
      <c r="CL73" s="1609"/>
      <c r="CM73" s="1609"/>
      <c r="CN73" s="1609"/>
      <c r="CO73" s="1609"/>
      <c r="CP73" s="1609"/>
      <c r="CQ73" s="1737">
        <f>$BM$7</f>
        <v>101</v>
      </c>
      <c r="CR73" s="1538"/>
      <c r="CS73" s="1538"/>
      <c r="CT73" s="1653">
        <f>BK73</f>
        <v>2</v>
      </c>
      <c r="CU73" s="1654">
        <f t="shared" ref="CU73" si="146">BL73</f>
        <v>2</v>
      </c>
      <c r="CV73" s="1655">
        <f t="shared" ref="CV73" si="147">BM73</f>
        <v>2</v>
      </c>
      <c r="CW73" s="25">
        <f t="shared" ref="CW73" si="148">BN73</f>
        <v>520</v>
      </c>
      <c r="CX73" s="1103">
        <f t="shared" ref="CX73" si="149">BO73</f>
        <v>158.49600000000001</v>
      </c>
      <c r="CY73" s="1584"/>
      <c r="CZ73" s="1601">
        <f>'WNTR-Calcs'!H78</f>
        <v>29.443360769095996</v>
      </c>
      <c r="DA73" s="1602">
        <f>'WNTR-Calcs'!K78</f>
        <v>10.229182582123759</v>
      </c>
      <c r="DB73" s="1602">
        <f>'WNTR-Calcs'!L78</f>
        <v>-20.071200000000001</v>
      </c>
      <c r="DC73" s="1603">
        <f>'WNTR-Calcs'!M78</f>
        <v>-20.046800000000001</v>
      </c>
      <c r="DD73" s="1604">
        <f>'WNTR-Calcs'!S78</f>
        <v>-4.4387310575145644</v>
      </c>
      <c r="DE73" s="1605">
        <f>'WNTR-Calcs'!R78</f>
        <v>8.8737277242746354E-2</v>
      </c>
      <c r="DF73" s="1606">
        <f>'WNTR-Calcs'!AS78</f>
        <v>14943.082406439777</v>
      </c>
      <c r="DG73" s="1607">
        <f>'WNTR-Calcs'!AT78</f>
        <v>0.76054453598217886</v>
      </c>
      <c r="DH73" s="1608">
        <f>'WNTR-Calcs'!AV78</f>
        <v>48415.586996864877</v>
      </c>
      <c r="DI73" s="1584"/>
      <c r="DJ73" s="1737">
        <f>$BM$7</f>
        <v>101</v>
      </c>
      <c r="DK73" s="1609"/>
      <c r="DL73" s="1609"/>
      <c r="DM73" s="1609"/>
      <c r="DN73" s="1609"/>
      <c r="DO73" s="1609"/>
      <c r="DP73" s="1609"/>
      <c r="DQ73" s="1609"/>
      <c r="DR73" s="1737">
        <f>$BM$7</f>
        <v>101</v>
      </c>
      <c r="DS73" s="1520"/>
    </row>
    <row r="74" spans="2:123" ht="18" customHeight="1" thickBot="1">
      <c r="B74" s="1267" t="s">
        <v>848</v>
      </c>
      <c r="C74" s="883"/>
      <c r="D74" s="883"/>
      <c r="E74" s="1226"/>
      <c r="F74" s="1271"/>
      <c r="G74" s="1292" t="s">
        <v>849</v>
      </c>
      <c r="H74" s="883"/>
      <c r="I74" s="883"/>
      <c r="J74" s="883"/>
      <c r="K74" s="883"/>
      <c r="L74" s="883"/>
      <c r="M74" s="883"/>
      <c r="N74" s="883"/>
      <c r="O74" s="1226"/>
      <c r="P74" s="2015">
        <v>4</v>
      </c>
      <c r="Q74" s="2011"/>
      <c r="R74" s="2010"/>
      <c r="S74" s="2011"/>
      <c r="T74" s="1995">
        <f t="shared" si="141"/>
        <v>4.0000000000000007E-4</v>
      </c>
      <c r="U74" s="1996"/>
      <c r="V74" s="1998"/>
      <c r="W74" s="1995">
        <f t="shared" si="142"/>
        <v>0</v>
      </c>
      <c r="X74" s="1996"/>
      <c r="Y74" s="1997"/>
      <c r="Z74" s="999"/>
      <c r="AA74" s="755"/>
      <c r="AB74" s="755"/>
      <c r="AC74" s="1907"/>
      <c r="AD74" s="755"/>
      <c r="AE74" s="991"/>
      <c r="AF74" s="1938"/>
      <c r="AG74" s="1939" t="s">
        <v>960</v>
      </c>
      <c r="AH74" s="1915"/>
      <c r="AI74" s="992"/>
      <c r="AJ74" s="993"/>
      <c r="AK74" s="993"/>
      <c r="AL74" s="993"/>
      <c r="AM74" s="993"/>
      <c r="AN74" s="994" t="s">
        <v>725</v>
      </c>
      <c r="AO74" s="993"/>
      <c r="AP74" s="993"/>
      <c r="AQ74" s="993"/>
      <c r="AR74" s="993"/>
      <c r="AS74" s="993"/>
      <c r="AT74" s="993"/>
      <c r="AU74" s="993"/>
      <c r="AV74" s="995"/>
      <c r="AW74" s="1919"/>
      <c r="AY74" s="1714"/>
      <c r="AZ74" s="1715"/>
      <c r="BA74" s="1716" t="s">
        <v>897</v>
      </c>
      <c r="BB74" s="1724">
        <f t="shared" ref="BB74:BI74" si="150">BB73/BB56</f>
        <v>0.76655064652219984</v>
      </c>
      <c r="BC74" s="1724">
        <f t="shared" si="150"/>
        <v>0.55578806462331298</v>
      </c>
      <c r="BD74" s="1724">
        <f t="shared" si="150"/>
        <v>5.1410700774251854E-2</v>
      </c>
      <c r="BE74" s="1724">
        <f t="shared" si="150"/>
        <v>2.7416846086909287E-2</v>
      </c>
      <c r="BF74" s="1724">
        <f t="shared" si="150"/>
        <v>4.9564538233756748E-2</v>
      </c>
      <c r="BG74" s="1724">
        <f t="shared" si="150"/>
        <v>0.54152422470309247</v>
      </c>
      <c r="BH74" s="1724">
        <f t="shared" si="150"/>
        <v>0.90067967909255897</v>
      </c>
      <c r="BI74" s="1725">
        <f t="shared" si="150"/>
        <v>0.5625590080434455</v>
      </c>
      <c r="BK74" s="1663">
        <v>1</v>
      </c>
      <c r="BL74" s="1664">
        <v>1</v>
      </c>
      <c r="BM74" s="1665">
        <f>BL74</f>
        <v>1</v>
      </c>
      <c r="BN74" s="1666">
        <f>$BB$9</f>
        <v>500</v>
      </c>
      <c r="BO74" s="1667">
        <f>IF(BM74="XX", "XX", BN74*0.3048)</f>
        <v>152.4</v>
      </c>
      <c r="BP74" s="1147">
        <f t="shared" si="144"/>
        <v>1</v>
      </c>
      <c r="BQ74" s="1533"/>
      <c r="BR74" s="1533"/>
      <c r="BS74" s="1663">
        <f>BK74</f>
        <v>1</v>
      </c>
      <c r="BT74" s="1664">
        <f>BL74</f>
        <v>1</v>
      </c>
      <c r="BU74" s="1665">
        <f>BM74</f>
        <v>1</v>
      </c>
      <c r="BV74" s="1666">
        <f>BN74</f>
        <v>500</v>
      </c>
      <c r="BW74" s="1667">
        <f>BO74</f>
        <v>152.4</v>
      </c>
      <c r="BX74" s="1668"/>
      <c r="BY74" s="1669">
        <f>'SMMR-Calcs'!H79</f>
        <v>29.464721899941239</v>
      </c>
      <c r="BZ74" s="1670">
        <f>'SMMR-Calcs'!K79</f>
        <v>5</v>
      </c>
      <c r="CA74" s="1670">
        <f>'SMMR-Calcs'!L79</f>
        <v>95</v>
      </c>
      <c r="CB74" s="1625">
        <f>'SMMR-Calcs'!M79</f>
        <v>75</v>
      </c>
      <c r="CC74" s="100">
        <f>'SMMR-Calcs'!S79</f>
        <v>38.725385782937394</v>
      </c>
      <c r="CD74" s="1671">
        <f>'SMMR-Calcs'!R79</f>
        <v>6.8823267291717491E-2</v>
      </c>
      <c r="CE74" s="1672">
        <f>'SMMR-Calcs'!AS79</f>
        <v>-7602.1325911111708</v>
      </c>
      <c r="CF74" s="1673">
        <f>'SMMR-Calcs'!AT79</f>
        <v>-0.38691885962497091</v>
      </c>
      <c r="CG74" s="1674">
        <f>'SMMR-Calcs'!AV79</f>
        <v>-24630.909595200192</v>
      </c>
      <c r="CH74" s="1584"/>
      <c r="CI74" s="1738" t="str">
        <f>$BM$6</f>
        <v>XX</v>
      </c>
      <c r="CJ74" s="1609"/>
      <c r="CK74" s="1609"/>
      <c r="CL74" s="1609"/>
      <c r="CM74" s="1609"/>
      <c r="CN74" s="1609"/>
      <c r="CO74" s="1609"/>
      <c r="CP74" s="1609"/>
      <c r="CQ74" s="1738" t="str">
        <f>$BM$6</f>
        <v>XX</v>
      </c>
      <c r="CR74" s="1675"/>
      <c r="CS74" s="1675"/>
      <c r="CT74" s="1676">
        <f>BK74</f>
        <v>1</v>
      </c>
      <c r="CU74" s="1677">
        <f t="shared" ref="CU74:CX74" si="151">BL74</f>
        <v>1</v>
      </c>
      <c r="CV74" s="1678">
        <f t="shared" si="151"/>
        <v>1</v>
      </c>
      <c r="CW74" s="47">
        <f t="shared" si="151"/>
        <v>500</v>
      </c>
      <c r="CX74" s="1101">
        <f t="shared" si="151"/>
        <v>152.4</v>
      </c>
      <c r="CY74" s="1584"/>
      <c r="CZ74" s="1601">
        <f>'WNTR-Calcs'!H79</f>
        <v>29.464721899941239</v>
      </c>
      <c r="DA74" s="1602">
        <f>'WNTR-Calcs'!K79</f>
        <v>10</v>
      </c>
      <c r="DB74" s="1602">
        <f>'WNTR-Calcs'!L79</f>
        <v>-20</v>
      </c>
      <c r="DC74" s="1603">
        <f>'WNTR-Calcs'!M79</f>
        <v>-20</v>
      </c>
      <c r="DD74" s="1604">
        <f>'WNTR-Calcs'!S79</f>
        <v>-4.426581720858346</v>
      </c>
      <c r="DE74" s="1605">
        <f>'WNTR-Calcs'!R79</f>
        <v>8.8787947767946143E-2</v>
      </c>
      <c r="DF74" s="1606">
        <f>'WNTR-Calcs'!AS79</f>
        <v>15179.096999919999</v>
      </c>
      <c r="DG74" s="1607">
        <f>'WNTR-Calcs'!AT79</f>
        <v>0.77255675706222071</v>
      </c>
      <c r="DH74" s="1608">
        <f>'WNTR-Calcs'!AV79</f>
        <v>49180.274279740799</v>
      </c>
      <c r="DI74" s="1584"/>
      <c r="DJ74" s="1738" t="str">
        <f>$BM$6</f>
        <v>XX</v>
      </c>
      <c r="DK74" s="1609"/>
      <c r="DL74" s="1609"/>
      <c r="DM74" s="1609"/>
      <c r="DN74" s="1609"/>
      <c r="DO74" s="1609"/>
      <c r="DP74" s="1609"/>
      <c r="DQ74" s="1609"/>
      <c r="DR74" s="1738" t="str">
        <f>$BM$6</f>
        <v>XX</v>
      </c>
      <c r="DS74" s="1520"/>
    </row>
  </sheetData>
  <mergeCells count="262">
    <mergeCell ref="BC68:BD68"/>
    <mergeCell ref="BE68:BF68"/>
    <mergeCell ref="AA39:AC39"/>
    <mergeCell ref="AA40:AC40"/>
    <mergeCell ref="AA41:AC41"/>
    <mergeCell ref="AD51:AF51"/>
    <mergeCell ref="AD46:AF46"/>
    <mergeCell ref="BY2:CD3"/>
    <mergeCell ref="CE2:CF3"/>
    <mergeCell ref="BF2:BG3"/>
    <mergeCell ref="BH2:BI3"/>
    <mergeCell ref="AA42:AC42"/>
    <mergeCell ref="AA43:AC43"/>
    <mergeCell ref="AA44:AC44"/>
    <mergeCell ref="AD41:AF41"/>
    <mergeCell ref="AD42:AF42"/>
    <mergeCell ref="AD43:AF43"/>
    <mergeCell ref="AD31:AF31"/>
    <mergeCell ref="AD33:AF33"/>
    <mergeCell ref="AD34:AF34"/>
    <mergeCell ref="AD35:AF35"/>
    <mergeCell ref="AD36:AF36"/>
    <mergeCell ref="AD37:AF37"/>
    <mergeCell ref="AD38:AF38"/>
    <mergeCell ref="AD48:AF48"/>
    <mergeCell ref="AD49:AF49"/>
    <mergeCell ref="AD45:AF45"/>
    <mergeCell ref="AA46:AC46"/>
    <mergeCell ref="AD60:AF60"/>
    <mergeCell ref="AD61:AF61"/>
    <mergeCell ref="AD62:AF62"/>
    <mergeCell ref="AD63:AF63"/>
    <mergeCell ref="AD32:AF32"/>
    <mergeCell ref="AA33:AC33"/>
    <mergeCell ref="AA34:AC34"/>
    <mergeCell ref="AA35:AC35"/>
    <mergeCell ref="AA36:AC36"/>
    <mergeCell ref="AA37:AC37"/>
    <mergeCell ref="AA38:AC38"/>
    <mergeCell ref="AD39:AF39"/>
    <mergeCell ref="AD40:AF40"/>
    <mergeCell ref="AD44:AF44"/>
    <mergeCell ref="E28:G28"/>
    <mergeCell ref="AA31:AC31"/>
    <mergeCell ref="B28:D28"/>
    <mergeCell ref="P29:Q29"/>
    <mergeCell ref="P31:Q31"/>
    <mergeCell ref="P32:Q32"/>
    <mergeCell ref="P33:Q33"/>
    <mergeCell ref="P34:Q34"/>
    <mergeCell ref="P35:Q35"/>
    <mergeCell ref="M28:O28"/>
    <mergeCell ref="T29:V29"/>
    <mergeCell ref="T32:V32"/>
    <mergeCell ref="T33:V33"/>
    <mergeCell ref="T34:V34"/>
    <mergeCell ref="T35:V35"/>
    <mergeCell ref="W29:Y29"/>
    <mergeCell ref="W31:Y31"/>
    <mergeCell ref="W32:Y32"/>
    <mergeCell ref="W33:Y33"/>
    <mergeCell ref="W34:Y34"/>
    <mergeCell ref="W35:Y35"/>
    <mergeCell ref="P52:Q52"/>
    <mergeCell ref="T42:V42"/>
    <mergeCell ref="T43:V43"/>
    <mergeCell ref="T44:V44"/>
    <mergeCell ref="T45:V45"/>
    <mergeCell ref="T46:V46"/>
    <mergeCell ref="T47:V47"/>
    <mergeCell ref="T48:V48"/>
    <mergeCell ref="T49:V49"/>
    <mergeCell ref="T50:V50"/>
    <mergeCell ref="T51:V51"/>
    <mergeCell ref="C2:C9"/>
    <mergeCell ref="AA51:AC51"/>
    <mergeCell ref="AA32:AC32"/>
    <mergeCell ref="AA50:AC50"/>
    <mergeCell ref="AA47:AC47"/>
    <mergeCell ref="AA48:AC48"/>
    <mergeCell ref="AA49:AC49"/>
    <mergeCell ref="P36:Q36"/>
    <mergeCell ref="P37:Q37"/>
    <mergeCell ref="P38:Q38"/>
    <mergeCell ref="P39:Q39"/>
    <mergeCell ref="P40:Q40"/>
    <mergeCell ref="P41:Q41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P51:Q51"/>
    <mergeCell ref="U28:W28"/>
    <mergeCell ref="P63:Q63"/>
    <mergeCell ref="P64:Q64"/>
    <mergeCell ref="P65:Q65"/>
    <mergeCell ref="P66:Q66"/>
    <mergeCell ref="P67:Q67"/>
    <mergeCell ref="P68:Q68"/>
    <mergeCell ref="P69:Q69"/>
    <mergeCell ref="P71:Q71"/>
    <mergeCell ref="P55:Q55"/>
    <mergeCell ref="P56:Q56"/>
    <mergeCell ref="P57:Q57"/>
    <mergeCell ref="P58:Q58"/>
    <mergeCell ref="P59:Q59"/>
    <mergeCell ref="P60:Q60"/>
    <mergeCell ref="P61:Q61"/>
    <mergeCell ref="P62:Q62"/>
    <mergeCell ref="P72:Q72"/>
    <mergeCell ref="P73:Q73"/>
    <mergeCell ref="P74:Q74"/>
    <mergeCell ref="R29:S29"/>
    <mergeCell ref="R31:S31"/>
    <mergeCell ref="R32:S32"/>
    <mergeCell ref="R33:S33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43:S43"/>
    <mergeCell ref="R44:S44"/>
    <mergeCell ref="R45:S45"/>
    <mergeCell ref="R46:S46"/>
    <mergeCell ref="R47:S47"/>
    <mergeCell ref="R48:S48"/>
    <mergeCell ref="R49:S49"/>
    <mergeCell ref="P53:Q53"/>
    <mergeCell ref="R72:S72"/>
    <mergeCell ref="R73:S73"/>
    <mergeCell ref="R74:S74"/>
    <mergeCell ref="R59:S59"/>
    <mergeCell ref="R60:S60"/>
    <mergeCell ref="R61:S61"/>
    <mergeCell ref="R62:S62"/>
    <mergeCell ref="R63:S63"/>
    <mergeCell ref="R64:S64"/>
    <mergeCell ref="R65:S65"/>
    <mergeCell ref="R66:S66"/>
    <mergeCell ref="R67:S67"/>
    <mergeCell ref="T59:V59"/>
    <mergeCell ref="T60:V60"/>
    <mergeCell ref="T61:V61"/>
    <mergeCell ref="W50:Y50"/>
    <mergeCell ref="W51:Y51"/>
    <mergeCell ref="R68:S68"/>
    <mergeCell ref="R69:S69"/>
    <mergeCell ref="R71:S71"/>
    <mergeCell ref="R50:S50"/>
    <mergeCell ref="R51:S51"/>
    <mergeCell ref="R52:S52"/>
    <mergeCell ref="R53:S53"/>
    <mergeCell ref="R55:S55"/>
    <mergeCell ref="R56:S56"/>
    <mergeCell ref="R57:S57"/>
    <mergeCell ref="R58:S58"/>
    <mergeCell ref="T52:V52"/>
    <mergeCell ref="T53:V53"/>
    <mergeCell ref="T55:V55"/>
    <mergeCell ref="T56:V56"/>
    <mergeCell ref="W52:Y52"/>
    <mergeCell ref="W53:Y53"/>
    <mergeCell ref="W55:Y55"/>
    <mergeCell ref="T72:V72"/>
    <mergeCell ref="T73:V73"/>
    <mergeCell ref="T74:V74"/>
    <mergeCell ref="W56:Y56"/>
    <mergeCell ref="T57:V57"/>
    <mergeCell ref="T69:V69"/>
    <mergeCell ref="T71:V71"/>
    <mergeCell ref="W67:Y67"/>
    <mergeCell ref="W68:Y68"/>
    <mergeCell ref="W69:Y69"/>
    <mergeCell ref="W71:Y71"/>
    <mergeCell ref="T62:V62"/>
    <mergeCell ref="T63:V63"/>
    <mergeCell ref="T64:V64"/>
    <mergeCell ref="T65:V65"/>
    <mergeCell ref="T66:V66"/>
    <mergeCell ref="W62:Y62"/>
    <mergeCell ref="W63:Y63"/>
    <mergeCell ref="W64:Y64"/>
    <mergeCell ref="W65:Y65"/>
    <mergeCell ref="W66:Y66"/>
    <mergeCell ref="T67:V67"/>
    <mergeCell ref="T68:V68"/>
    <mergeCell ref="T58:V58"/>
    <mergeCell ref="W74:Y74"/>
    <mergeCell ref="AA53:AC53"/>
    <mergeCell ref="AA54:AC54"/>
    <mergeCell ref="AA55:AC55"/>
    <mergeCell ref="AA56:AC56"/>
    <mergeCell ref="AA57:AC57"/>
    <mergeCell ref="AA58:AC58"/>
    <mergeCell ref="AA59:AC59"/>
    <mergeCell ref="AA60:AC60"/>
    <mergeCell ref="AA61:AC61"/>
    <mergeCell ref="AA62:AC62"/>
    <mergeCell ref="AA63:AC63"/>
    <mergeCell ref="W57:Y57"/>
    <mergeCell ref="W58:Y58"/>
    <mergeCell ref="W59:Y59"/>
    <mergeCell ref="W60:Y60"/>
    <mergeCell ref="AA64:AC64"/>
    <mergeCell ref="AD67:AF67"/>
    <mergeCell ref="CZ2:DE3"/>
    <mergeCell ref="W45:Y45"/>
    <mergeCell ref="W46:Y46"/>
    <mergeCell ref="W47:Y47"/>
    <mergeCell ref="W48:Y48"/>
    <mergeCell ref="W49:Y49"/>
    <mergeCell ref="T31:V31"/>
    <mergeCell ref="W73:Y73"/>
    <mergeCell ref="W36:Y36"/>
    <mergeCell ref="W37:Y37"/>
    <mergeCell ref="W38:Y38"/>
    <mergeCell ref="W39:Y39"/>
    <mergeCell ref="W40:Y40"/>
    <mergeCell ref="W41:Y41"/>
    <mergeCell ref="W42:Y42"/>
    <mergeCell ref="W43:Y43"/>
    <mergeCell ref="W44:Y44"/>
    <mergeCell ref="T36:V36"/>
    <mergeCell ref="T37:V37"/>
    <mergeCell ref="T38:V38"/>
    <mergeCell ref="T39:V39"/>
    <mergeCell ref="T40:V40"/>
    <mergeCell ref="T41:V41"/>
    <mergeCell ref="DF2:DG3"/>
    <mergeCell ref="W72:Y72"/>
    <mergeCell ref="AD64:AF64"/>
    <mergeCell ref="AD65:AF65"/>
    <mergeCell ref="BG68:BH68"/>
    <mergeCell ref="AA45:AC45"/>
    <mergeCell ref="AD53:AF53"/>
    <mergeCell ref="AA52:AC52"/>
    <mergeCell ref="AD52:AF52"/>
    <mergeCell ref="AD54:AF54"/>
    <mergeCell ref="AD55:AF55"/>
    <mergeCell ref="AD56:AF56"/>
    <mergeCell ref="AD57:AF57"/>
    <mergeCell ref="AD58:AF58"/>
    <mergeCell ref="AD59:AF59"/>
    <mergeCell ref="AD50:AF50"/>
    <mergeCell ref="AD47:AF47"/>
    <mergeCell ref="AA65:AC65"/>
    <mergeCell ref="W61:Y61"/>
    <mergeCell ref="AA26:AL27"/>
    <mergeCell ref="AA24:AL25"/>
    <mergeCell ref="AA66:AC66"/>
    <mergeCell ref="AD66:AF66"/>
    <mergeCell ref="AA67:AC67"/>
  </mergeCells>
  <pageMargins left="0.7" right="0.7" top="0.75" bottom="0.75" header="0.3" footer="0.3"/>
  <pageSetup scale="50" orientation="portrait" r:id="rId1"/>
  <headerFooter>
    <oddHeader>&amp;L&amp;18&amp;F&amp;R&amp;18&amp;A</oddHeader>
    <oddFooter>&amp;L&amp;18Varkie C. Thomas, Ph.D. P.E.&amp;C&amp;18College of Architecture&amp;R&amp;18Illinois Institute of Technology, Chicago</oddFooter>
  </headerFooter>
  <colBreaks count="2" manualBreakCount="2">
    <brk id="49" max="1048575" man="1"/>
    <brk id="6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79"/>
  <sheetViews>
    <sheetView zoomScale="55" zoomScaleNormal="55" workbookViewId="0">
      <selection activeCell="AR66" sqref="AR66"/>
    </sheetView>
  </sheetViews>
  <sheetFormatPr defaultColWidth="6.69921875" defaultRowHeight="21" customHeight="1"/>
  <cols>
    <col min="1" max="1" width="1.69921875" style="1065" customWidth="1"/>
    <col min="2" max="3" width="5.69921875" style="16" customWidth="1"/>
    <col min="4" max="4" width="5.69921875" style="1191" customWidth="1"/>
    <col min="5" max="6" width="6.69921875" style="16" customWidth="1"/>
    <col min="7" max="7" width="6.69921875" style="3" customWidth="1"/>
    <col min="8" max="8" width="6.69921875" style="88" customWidth="1"/>
    <col min="9" max="9" width="7.19921875" style="88" customWidth="1"/>
    <col min="10" max="10" width="6.69921875" style="88" customWidth="1"/>
    <col min="11" max="11" width="6.69921875" style="3" customWidth="1"/>
    <col min="12" max="14" width="6.69921875" style="2" customWidth="1"/>
    <col min="15" max="15" width="7.69921875" style="2" customWidth="1"/>
    <col min="16" max="16" width="6.69921875" style="2" customWidth="1"/>
    <col min="17" max="17" width="6.69921875" style="88" customWidth="1"/>
    <col min="18" max="18" width="8.69921875" style="103" customWidth="1"/>
    <col min="19" max="19" width="7.69921875" style="33" customWidth="1"/>
    <col min="20" max="21" width="6.69921875" style="3" customWidth="1"/>
    <col min="22" max="22" width="1.69921875" style="3" customWidth="1"/>
    <col min="23" max="27" width="7.19921875" style="3" customWidth="1"/>
    <col min="28" max="28" width="8.19921875" style="3" customWidth="1"/>
    <col min="29" max="29" width="7.19921875" style="3" customWidth="1"/>
    <col min="30" max="31" width="2.69921875" style="3" customWidth="1"/>
    <col min="32" max="32" width="5.69921875" style="1170" customWidth="1"/>
    <col min="33" max="33" width="5.69921875" style="1095" customWidth="1"/>
    <col min="34" max="34" width="5.69921875" style="1197" customWidth="1"/>
    <col min="35" max="36" width="6.69921875" style="1095" customWidth="1"/>
    <col min="37" max="37" width="5.69921875" style="1095" customWidth="1"/>
    <col min="38" max="38" width="8.69921875" style="4" customWidth="1"/>
    <col min="39" max="43" width="8.69921875" style="5" customWidth="1"/>
    <col min="44" max="44" width="9.69921875" style="5" customWidth="1"/>
    <col min="45" max="46" width="8.69921875" style="80" customWidth="1"/>
    <col min="47" max="47" width="8.69921875" style="87" customWidth="1"/>
    <col min="48" max="48" width="10.69921875" style="87" customWidth="1"/>
    <col min="49" max="16384" width="6.69921875" style="4"/>
  </cols>
  <sheetData>
    <row r="1" spans="1:48" s="1009" customFormat="1" ht="21" customHeight="1">
      <c r="A1" s="1009">
        <v>1</v>
      </c>
      <c r="B1" s="1171">
        <v>5</v>
      </c>
      <c r="C1" s="1151">
        <v>5</v>
      </c>
      <c r="D1" s="1155">
        <v>5</v>
      </c>
      <c r="E1" s="1138">
        <v>6</v>
      </c>
      <c r="F1" s="1138">
        <v>6</v>
      </c>
      <c r="G1" s="1138">
        <v>6</v>
      </c>
      <c r="H1" s="1138">
        <v>6</v>
      </c>
      <c r="I1" s="1151">
        <v>6.5</v>
      </c>
      <c r="J1" s="1151">
        <v>6</v>
      </c>
      <c r="K1" s="1151">
        <v>6</v>
      </c>
      <c r="L1" s="1151">
        <v>6</v>
      </c>
      <c r="M1" s="1151">
        <v>6</v>
      </c>
      <c r="N1" s="1151">
        <v>6</v>
      </c>
      <c r="O1" s="1138">
        <v>7</v>
      </c>
      <c r="P1" s="1152">
        <v>6</v>
      </c>
      <c r="Q1" s="1138">
        <v>6</v>
      </c>
      <c r="R1" s="1153">
        <v>7.5</v>
      </c>
      <c r="S1" s="1138">
        <v>7</v>
      </c>
      <c r="T1" s="1138">
        <v>6</v>
      </c>
      <c r="U1" s="1138">
        <v>6</v>
      </c>
      <c r="V1" s="107">
        <v>7</v>
      </c>
      <c r="W1" s="1138">
        <v>6.5</v>
      </c>
      <c r="X1" s="1138">
        <v>6.5</v>
      </c>
      <c r="Y1" s="1138">
        <v>6.5</v>
      </c>
      <c r="Z1" s="1138">
        <v>6.5</v>
      </c>
      <c r="AA1" s="1138">
        <v>6.5</v>
      </c>
      <c r="AB1" s="1138">
        <v>7.5</v>
      </c>
      <c r="AC1" s="1138">
        <v>6.5</v>
      </c>
      <c r="AD1" s="1138">
        <v>2</v>
      </c>
      <c r="AE1" s="1138">
        <v>2</v>
      </c>
      <c r="AF1" s="1157">
        <v>5</v>
      </c>
      <c r="AG1" s="1155">
        <v>5</v>
      </c>
      <c r="AH1" s="1155">
        <v>5</v>
      </c>
      <c r="AI1" s="1154">
        <v>6</v>
      </c>
      <c r="AJ1" s="1154">
        <v>6</v>
      </c>
      <c r="AK1" s="1154"/>
      <c r="AL1" s="1138">
        <v>6.5</v>
      </c>
      <c r="AM1" s="1138">
        <v>6.5</v>
      </c>
      <c r="AN1" s="1138">
        <v>6.5</v>
      </c>
      <c r="AO1" s="1138">
        <v>6.5</v>
      </c>
      <c r="AP1" s="1138">
        <v>6.5</v>
      </c>
      <c r="AQ1" s="1138">
        <v>6.5</v>
      </c>
      <c r="AR1" s="1138">
        <v>9</v>
      </c>
      <c r="AS1" s="1138">
        <v>6.5</v>
      </c>
      <c r="AT1" s="1138">
        <v>6.5</v>
      </c>
      <c r="AU1" s="1138">
        <v>7</v>
      </c>
      <c r="AV1" s="1138">
        <v>9</v>
      </c>
    </row>
    <row r="2" spans="1:48" ht="21" customHeight="1" thickBot="1">
      <c r="B2" s="8" t="s">
        <v>106</v>
      </c>
      <c r="C2" s="7"/>
      <c r="D2" s="1156">
        <f>'Input-Output'!BB9</f>
        <v>500</v>
      </c>
      <c r="E2" s="9" t="s">
        <v>27</v>
      </c>
      <c r="F2" s="56">
        <f>'Input-Output'!AZ68</f>
        <v>1309</v>
      </c>
      <c r="G2" s="9" t="s">
        <v>56</v>
      </c>
      <c r="H2" s="89">
        <f>'Input-Output'!BA68</f>
        <v>654.5</v>
      </c>
      <c r="I2" s="90" t="s">
        <v>107</v>
      </c>
      <c r="J2" s="4"/>
      <c r="K2" s="2063">
        <f>'Input-Output'!BC68</f>
        <v>2782800</v>
      </c>
      <c r="L2" s="2064"/>
      <c r="M2" s="31" t="s">
        <v>108</v>
      </c>
      <c r="N2" s="31"/>
      <c r="O2" s="2061">
        <f>'Input-Output'!BE68</f>
        <v>834612.65391762299</v>
      </c>
      <c r="P2" s="2062"/>
      <c r="Q2" s="88" t="s">
        <v>110</v>
      </c>
      <c r="R2" s="1526">
        <f>'Input-Output'!BG68</f>
        <v>3126.9736577264616</v>
      </c>
      <c r="S2" s="11" t="s">
        <v>109</v>
      </c>
      <c r="T2" s="40"/>
      <c r="U2" s="57">
        <f>'Input-Output'!BH6 - 'Input-Output'!BH5</f>
        <v>10</v>
      </c>
      <c r="W2" s="1068" t="s">
        <v>875</v>
      </c>
      <c r="Z2" s="3" t="s">
        <v>17</v>
      </c>
      <c r="AA2" s="1198">
        <v>3.5599999999999998E-3</v>
      </c>
      <c r="AB2" s="3" t="s">
        <v>18</v>
      </c>
      <c r="AC2" s="1198">
        <v>2.3400000000000001E-3</v>
      </c>
      <c r="AD2" s="6"/>
      <c r="AE2" s="1139"/>
      <c r="AF2" s="1158" t="s">
        <v>889</v>
      </c>
      <c r="AG2" s="4"/>
      <c r="AH2" s="1192"/>
      <c r="AI2" s="4"/>
      <c r="AJ2" s="4"/>
      <c r="AK2" s="4"/>
      <c r="AL2" s="91" t="s">
        <v>140</v>
      </c>
      <c r="AM2" s="91" t="s">
        <v>135</v>
      </c>
      <c r="AN2" s="4"/>
      <c r="AO2" s="4"/>
      <c r="AP2" s="4"/>
      <c r="AQ2" s="93" t="s">
        <v>143</v>
      </c>
      <c r="AR2" s="92" t="s">
        <v>876</v>
      </c>
      <c r="AS2" s="4"/>
      <c r="AU2" s="4"/>
      <c r="AV2" s="4"/>
    </row>
    <row r="3" spans="1:48" ht="21" customHeight="1">
      <c r="B3" s="1514"/>
      <c r="C3" s="1010"/>
      <c r="D3" s="1515"/>
      <c r="E3" s="1039" t="s">
        <v>57</v>
      </c>
      <c r="F3" s="1010"/>
      <c r="G3" s="1011" t="s">
        <v>924</v>
      </c>
      <c r="H3" s="1012"/>
      <c r="I3" s="1012"/>
      <c r="J3" s="1012"/>
      <c r="K3" s="1012" t="s">
        <v>925</v>
      </c>
      <c r="L3" s="1013" t="s">
        <v>17</v>
      </c>
      <c r="M3" s="1013" t="s">
        <v>18</v>
      </c>
      <c r="N3" s="1013" t="s">
        <v>30</v>
      </c>
      <c r="O3" s="68" t="s">
        <v>34</v>
      </c>
      <c r="P3" s="1013" t="s">
        <v>31</v>
      </c>
      <c r="Q3" s="1012" t="s">
        <v>32</v>
      </c>
      <c r="R3" s="1041" t="s">
        <v>33</v>
      </c>
      <c r="S3" s="1014" t="s">
        <v>35</v>
      </c>
      <c r="T3" s="68" t="s">
        <v>36</v>
      </c>
      <c r="U3" s="69" t="s">
        <v>37</v>
      </c>
      <c r="W3" s="1199" t="s">
        <v>113</v>
      </c>
      <c r="X3" s="1061"/>
      <c r="Y3" s="1061"/>
      <c r="Z3" s="1061"/>
      <c r="AA3" s="1061"/>
      <c r="AB3" s="1061"/>
      <c r="AC3" s="1200"/>
      <c r="AF3" s="1159" t="s">
        <v>890</v>
      </c>
      <c r="AG3" s="4"/>
      <c r="AH3" s="1192"/>
      <c r="AI3" s="4"/>
      <c r="AJ3" s="1108" t="s">
        <v>877</v>
      </c>
      <c r="AK3" s="1108"/>
      <c r="AL3" s="91" t="s">
        <v>141</v>
      </c>
      <c r="AM3" s="91" t="s">
        <v>136</v>
      </c>
      <c r="AN3" s="4"/>
      <c r="AO3" s="4"/>
      <c r="AP3" s="92" t="s">
        <v>146</v>
      </c>
      <c r="AQ3" s="4"/>
      <c r="AR3" s="94" t="s">
        <v>145</v>
      </c>
      <c r="AS3" s="4"/>
      <c r="AT3" s="85" t="s">
        <v>883</v>
      </c>
      <c r="AV3" s="4"/>
    </row>
    <row r="4" spans="1:48" ht="21" customHeight="1" thickBot="1">
      <c r="B4" s="1516"/>
      <c r="C4" s="1517"/>
      <c r="D4" s="1518"/>
      <c r="E4" s="1015" t="s">
        <v>11</v>
      </c>
      <c r="F4" s="1016" t="s">
        <v>12</v>
      </c>
      <c r="G4" s="77" t="s">
        <v>15</v>
      </c>
      <c r="H4" s="77" t="s">
        <v>14</v>
      </c>
      <c r="I4" s="77" t="s">
        <v>16</v>
      </c>
      <c r="J4" s="77" t="s">
        <v>13</v>
      </c>
      <c r="K4" s="77" t="s">
        <v>53</v>
      </c>
      <c r="L4" s="78" t="s">
        <v>38</v>
      </c>
      <c r="M4" s="78" t="s">
        <v>38</v>
      </c>
      <c r="N4" s="78" t="s">
        <v>38</v>
      </c>
      <c r="O4" s="76" t="s">
        <v>41</v>
      </c>
      <c r="P4" s="78" t="s">
        <v>39</v>
      </c>
      <c r="Q4" s="77" t="s">
        <v>40</v>
      </c>
      <c r="R4" s="104" t="s">
        <v>19</v>
      </c>
      <c r="S4" s="1017" t="s">
        <v>42</v>
      </c>
      <c r="T4" s="76" t="s">
        <v>43</v>
      </c>
      <c r="U4" s="79" t="s">
        <v>43</v>
      </c>
      <c r="W4" s="1201" t="s">
        <v>44</v>
      </c>
      <c r="X4" s="38" t="s">
        <v>45</v>
      </c>
      <c r="Y4" s="38" t="s">
        <v>46</v>
      </c>
      <c r="Z4" s="38" t="s">
        <v>47</v>
      </c>
      <c r="AA4" s="38" t="s">
        <v>48</v>
      </c>
      <c r="AB4" s="38" t="s">
        <v>49</v>
      </c>
      <c r="AC4" s="39" t="s">
        <v>50</v>
      </c>
      <c r="AF4" s="1160" t="s">
        <v>891</v>
      </c>
      <c r="AG4" s="4"/>
      <c r="AH4" s="1192"/>
      <c r="AI4" s="4"/>
      <c r="AJ4" s="4"/>
      <c r="AK4" s="4"/>
      <c r="AL4" s="1121" t="s">
        <v>114</v>
      </c>
      <c r="AM4" s="91" t="s">
        <v>142</v>
      </c>
      <c r="AN4" s="4"/>
      <c r="AO4" s="4"/>
      <c r="AP4" s="1107" t="s">
        <v>144</v>
      </c>
      <c r="AQ4" s="4"/>
      <c r="AR4" s="86" t="s">
        <v>133</v>
      </c>
      <c r="AS4" s="4"/>
      <c r="AU4" s="4"/>
      <c r="AV4" s="4"/>
    </row>
    <row r="5" spans="1:48" ht="21" customHeight="1">
      <c r="B5" s="43" t="s">
        <v>923</v>
      </c>
      <c r="C5" s="18"/>
      <c r="D5" s="1180"/>
      <c r="E5" s="25">
        <v>0</v>
      </c>
      <c r="F5" s="25">
        <v>0</v>
      </c>
      <c r="G5" s="26">
        <f xml:space="preserve"> ( 101325*(1-2.25577*(10^(-5))*F5)^5.2555 ) /1000</f>
        <v>101.325</v>
      </c>
      <c r="H5" s="26">
        <f>G5*0.2953</f>
        <v>29.921272500000001</v>
      </c>
      <c r="I5" s="26">
        <f>J5*27.7070465550844</f>
        <v>406.03447543319317</v>
      </c>
      <c r="J5" s="26">
        <f>H5/2.041772658</f>
        <v>14.654556364423604</v>
      </c>
      <c r="K5" s="26">
        <f>('Input-Output'!BH5+'Input-Output'!BH6)/2</f>
        <v>10</v>
      </c>
      <c r="L5" s="27">
        <f>'Input-Output'!BH11</f>
        <v>75</v>
      </c>
      <c r="M5" s="27">
        <f>'Input-Output'!BH12</f>
        <v>62</v>
      </c>
      <c r="N5" s="28">
        <f>100.45+33.193*AB5+2.319*AB5^2+0.17074*AB5^3+1.2063*(AA5*0.4897705)^3</f>
        <v>53.291933873220287</v>
      </c>
      <c r="O5" s="29">
        <f>((1093-0.556*M5)*X5 - 0.24*(L5-M5))/(1093 + 0.444*L5-M5)</f>
        <v>8.9200822277354305E-3</v>
      </c>
      <c r="P5" s="28">
        <f>((O5/AC5)/(1-(1-(O5/AC5))*(Y5/J5)))*100</f>
        <v>48.128472062697938</v>
      </c>
      <c r="Q5" s="41">
        <f>0.7543*(T5*(1+1.6078*O5))/H5</f>
        <v>13.672833203605759</v>
      </c>
      <c r="R5" s="42">
        <f xml:space="preserve"> 1/Q5</f>
        <v>7.3137731230150826E-2</v>
      </c>
      <c r="S5" s="37">
        <f>0.24*L5+O5*(1061+0.444*L5)</f>
        <v>27.76124598181088</v>
      </c>
      <c r="T5" s="30">
        <f>L5+459.7</f>
        <v>534.70000000000005</v>
      </c>
      <c r="U5" s="44">
        <f>M5+459.7</f>
        <v>521.70000000000005</v>
      </c>
      <c r="W5" s="1202">
        <f xml:space="preserve"> EXP((-10440.397/U5)+(-11.29465) + (-0.027022355*U5) + (0.00001289036*U5*U5) + (-0.0000000024780681*U5^3)+(6.5459673*LN(U5)))</f>
        <v>0.27548167941417362</v>
      </c>
      <c r="X5" s="21">
        <f>0.62198*W5/(J5-W5)</f>
        <v>1.1916211488953355E-2</v>
      </c>
      <c r="Y5" s="23">
        <f xml:space="preserve"> EXP((-10440.397/T5)+(-11.29465) + (-0.027022355*T5) + (0.00001289036*T5*T5) + (-0.0000000024780681*T5^3)+(6.5459673*LN(T5)))</f>
        <v>0.43050566941181179</v>
      </c>
      <c r="Z5" s="21">
        <f>Y5*2.041772658</f>
        <v>0.87899470491902432</v>
      </c>
      <c r="AA5" s="21">
        <f>(H5*O5)/(0.62198+O5)</f>
        <v>0.42304672098954677</v>
      </c>
      <c r="AB5" s="21">
        <f>LN(AA5*0.4897705)</f>
        <v>-1.574091019465897</v>
      </c>
      <c r="AC5" s="70">
        <f>0.62198*(Y5/(J5-Y5))</f>
        <v>1.8824870777117031E-2</v>
      </c>
      <c r="AF5" s="1161" t="s">
        <v>74</v>
      </c>
      <c r="AG5" s="1122"/>
      <c r="AH5" s="1193"/>
      <c r="AI5" s="1141" t="s">
        <v>54</v>
      </c>
      <c r="AJ5" s="1143">
        <v>0.29610503437779401</v>
      </c>
      <c r="AK5" s="1140" t="s">
        <v>880</v>
      </c>
      <c r="AL5" s="1120">
        <v>4.0185657738752996</v>
      </c>
      <c r="AM5" s="1040" t="s">
        <v>55</v>
      </c>
      <c r="AN5" s="1120">
        <v>0.14503768078946899</v>
      </c>
      <c r="AO5" s="1124" t="s">
        <v>137</v>
      </c>
      <c r="AP5" s="1125">
        <v>5.9800000000000001E-4</v>
      </c>
      <c r="AQ5" s="1126" t="s">
        <v>60</v>
      </c>
      <c r="AR5" s="1127">
        <v>32.17</v>
      </c>
      <c r="AS5" s="1128" t="s">
        <v>138</v>
      </c>
      <c r="AT5" s="1129">
        <v>1.2999999999999999E-2</v>
      </c>
      <c r="AU5" s="1007" t="s">
        <v>872</v>
      </c>
      <c r="AV5" s="1119">
        <f>'Input-Output'!BH10</f>
        <v>2680</v>
      </c>
    </row>
    <row r="6" spans="1:48" ht="21" customHeight="1" thickBot="1">
      <c r="B6" s="45" t="s">
        <v>105</v>
      </c>
      <c r="C6" s="46"/>
      <c r="D6" s="1181"/>
      <c r="E6" s="47">
        <f>E79</f>
        <v>500</v>
      </c>
      <c r="F6" s="47">
        <f>F79</f>
        <v>152.4</v>
      </c>
      <c r="G6" s="48">
        <f xml:space="preserve"> ( 101325*(1-2.25577*(10^(-5))*F6)^5.2555 ) /1000</f>
        <v>99.507669506043712</v>
      </c>
      <c r="H6" s="48">
        <f>G6*0.2953</f>
        <v>29.38461480513471</v>
      </c>
      <c r="I6" s="48">
        <f>J6*27.7070465550844</f>
        <v>398.75198015757229</v>
      </c>
      <c r="J6" s="48">
        <f>H6/2.041772658</f>
        <v>14.391717260979556</v>
      </c>
      <c r="K6" s="49">
        <f>K79</f>
        <v>5</v>
      </c>
      <c r="L6" s="49">
        <f>'Input-Output'!BH11</f>
        <v>75</v>
      </c>
      <c r="M6" s="49">
        <f>'Input-Output'!BH12</f>
        <v>62</v>
      </c>
      <c r="N6" s="49">
        <f t="shared" ref="N6:U6" si="0">N79</f>
        <v>66.078057703881669</v>
      </c>
      <c r="O6" s="50">
        <f t="shared" si="0"/>
        <v>1.4435890591687118E-2</v>
      </c>
      <c r="P6" s="54">
        <f t="shared" si="0"/>
        <v>40.069938452126571</v>
      </c>
      <c r="Q6" s="51">
        <f t="shared" si="0"/>
        <v>14.529969868494526</v>
      </c>
      <c r="R6" s="52">
        <f t="shared" si="0"/>
        <v>6.8823267291717491E-2</v>
      </c>
      <c r="S6" s="53">
        <f t="shared" si="0"/>
        <v>38.725385782937394</v>
      </c>
      <c r="T6" s="54">
        <f t="shared" si="0"/>
        <v>554.70000000000005</v>
      </c>
      <c r="U6" s="55">
        <f t="shared" si="0"/>
        <v>534.70000000000005</v>
      </c>
      <c r="W6" s="1203">
        <f xml:space="preserve"> IF(E6="XX", "XX", EXP((-10440.397/U6)+(-11.29465) + (-0.027022355*U6) + (0.00001289036*U6*U6) + (-0.0000000024780681*U6^3)+(6.5459673*LN(U6))) )</f>
        <v>0.43050566941181179</v>
      </c>
      <c r="X6" s="71">
        <f>IF(E6="XX", "XX", 0.62198*W6/(J6-W6))</f>
        <v>1.9179274986598098E-2</v>
      </c>
      <c r="Y6" s="72">
        <f xml:space="preserve"> IF(E6="XX", "XX", EXP((-10440.397/T6)+(-11.29465) + (-0.027022355*T6) + (0.00001289036*T6*T6) + (-0.0000000024780681*T6^3)+(6.5459673*LN(T6))) )</f>
        <v>0.8169985641775287</v>
      </c>
      <c r="Z6" s="71">
        <f>IF(E6="XX", "XX", Y6*2.041772658 )</f>
        <v>1.6681253299629366</v>
      </c>
      <c r="AA6" s="71">
        <f>IF(E6="XX", "XX", (H6*O6)/(0.62198+O6))</f>
        <v>0.66653440097388883</v>
      </c>
      <c r="AB6" s="71">
        <f>IF(E6="XX", "XX", LN(AA6*0.4897705))</f>
        <v>-1.1194818912735744</v>
      </c>
      <c r="AC6" s="73">
        <f>IF(E6="XX", "XX", 0.62198*(Y6/(J6-Y6)))</f>
        <v>3.7434055047258726E-2</v>
      </c>
      <c r="AF6" s="1162" t="s">
        <v>75</v>
      </c>
      <c r="AG6" s="1123"/>
      <c r="AH6" s="1194"/>
      <c r="AI6" s="1142" t="s">
        <v>54</v>
      </c>
      <c r="AJ6" s="1144">
        <v>7.3684257279742205E-2</v>
      </c>
      <c r="AK6" s="1005" t="s">
        <v>15</v>
      </c>
      <c r="AL6" s="81">
        <v>0.24884500000000001</v>
      </c>
      <c r="AM6" s="82" t="s">
        <v>55</v>
      </c>
      <c r="AN6" s="81">
        <v>3.6091901676055402E-2</v>
      </c>
      <c r="AO6" s="1130" t="s">
        <v>59</v>
      </c>
      <c r="AP6" s="1150">
        <v>0.4</v>
      </c>
      <c r="AQ6" s="1131" t="s">
        <v>147</v>
      </c>
      <c r="AR6" s="1132">
        <v>0.65</v>
      </c>
      <c r="AS6" s="1133" t="s">
        <v>139</v>
      </c>
      <c r="AT6" s="1150">
        <v>6.5000000000000002E-2</v>
      </c>
      <c r="AU6" s="1134" t="s">
        <v>878</v>
      </c>
      <c r="AV6" s="1135">
        <v>0.24</v>
      </c>
    </row>
    <row r="7" spans="1:48" s="1009" customFormat="1" ht="21" customHeight="1" thickBot="1">
      <c r="B7" s="1172"/>
      <c r="D7" s="1182"/>
      <c r="E7" s="107"/>
      <c r="L7" s="1064"/>
      <c r="M7" s="1064"/>
      <c r="Q7" s="1038"/>
      <c r="R7" s="1042"/>
      <c r="AF7" s="1163"/>
      <c r="AG7" s="1096"/>
      <c r="AH7" s="1195"/>
      <c r="AI7" s="1097"/>
      <c r="AJ7" s="1097"/>
      <c r="AK7" s="1097"/>
    </row>
    <row r="8" spans="1:48" ht="21" customHeight="1">
      <c r="B8" s="1173" t="s">
        <v>51</v>
      </c>
      <c r="C8" s="1048" t="s">
        <v>100</v>
      </c>
      <c r="D8" s="1183" t="s">
        <v>99</v>
      </c>
      <c r="E8" s="1513" t="s">
        <v>57</v>
      </c>
      <c r="F8" s="1049"/>
      <c r="G8" s="1050" t="s">
        <v>924</v>
      </c>
      <c r="H8" s="1051"/>
      <c r="I8" s="1051"/>
      <c r="J8" s="1051"/>
      <c r="K8" s="1051" t="s">
        <v>925</v>
      </c>
      <c r="L8" s="1052" t="s">
        <v>17</v>
      </c>
      <c r="M8" s="1052" t="s">
        <v>18</v>
      </c>
      <c r="N8" s="1052" t="s">
        <v>30</v>
      </c>
      <c r="O8" s="1053" t="s">
        <v>34</v>
      </c>
      <c r="P8" s="1052" t="s">
        <v>31</v>
      </c>
      <c r="Q8" s="1051" t="s">
        <v>32</v>
      </c>
      <c r="R8" s="1054" t="s">
        <v>33</v>
      </c>
      <c r="S8" s="1053" t="s">
        <v>35</v>
      </c>
      <c r="T8" s="1053" t="s">
        <v>36</v>
      </c>
      <c r="U8" s="1055" t="s">
        <v>37</v>
      </c>
      <c r="W8" s="1199" t="s">
        <v>113</v>
      </c>
      <c r="X8" s="1053"/>
      <c r="Y8" s="1053"/>
      <c r="Z8" s="1053"/>
      <c r="AA8" s="1053"/>
      <c r="AB8" s="1053"/>
      <c r="AC8" s="1055"/>
      <c r="AF8" s="1164" t="s">
        <v>51</v>
      </c>
      <c r="AG8" s="1098" t="s">
        <v>100</v>
      </c>
      <c r="AH8" s="1183" t="s">
        <v>99</v>
      </c>
      <c r="AI8" s="1513" t="s">
        <v>57</v>
      </c>
      <c r="AJ8" s="1099"/>
      <c r="AK8" s="1145" t="s">
        <v>66</v>
      </c>
      <c r="AL8" s="1058" t="s">
        <v>66</v>
      </c>
      <c r="AM8" s="1059" t="s">
        <v>58</v>
      </c>
      <c r="AN8" s="1059" t="s">
        <v>61</v>
      </c>
      <c r="AO8" s="1059" t="s">
        <v>62</v>
      </c>
      <c r="AP8" s="1059" t="s">
        <v>63</v>
      </c>
      <c r="AQ8" s="1060" t="s">
        <v>64</v>
      </c>
      <c r="AR8" s="1061" t="s">
        <v>67</v>
      </c>
      <c r="AS8" s="1060" t="s">
        <v>69</v>
      </c>
      <c r="AT8" s="1062" t="s">
        <v>70</v>
      </c>
      <c r="AU8" s="1060" t="s">
        <v>130</v>
      </c>
      <c r="AV8" s="1063" t="s">
        <v>131</v>
      </c>
    </row>
    <row r="9" spans="1:48" ht="21" customHeight="1" thickBot="1">
      <c r="A9" s="1066"/>
      <c r="B9" s="1165" t="s">
        <v>25</v>
      </c>
      <c r="C9" s="1029" t="s">
        <v>52</v>
      </c>
      <c r="D9" s="1184" t="s">
        <v>52</v>
      </c>
      <c r="E9" s="1034" t="s">
        <v>11</v>
      </c>
      <c r="F9" s="1034" t="s">
        <v>12</v>
      </c>
      <c r="G9" s="1035" t="s">
        <v>15</v>
      </c>
      <c r="H9" s="1035" t="s">
        <v>14</v>
      </c>
      <c r="I9" s="1035" t="s">
        <v>16</v>
      </c>
      <c r="J9" s="1035" t="s">
        <v>13</v>
      </c>
      <c r="K9" s="1035" t="s">
        <v>53</v>
      </c>
      <c r="L9" s="1036" t="s">
        <v>38</v>
      </c>
      <c r="M9" s="1036" t="s">
        <v>38</v>
      </c>
      <c r="N9" s="1036" t="s">
        <v>38</v>
      </c>
      <c r="O9" s="1029" t="s">
        <v>41</v>
      </c>
      <c r="P9" s="1036" t="s">
        <v>39</v>
      </c>
      <c r="Q9" s="1035" t="s">
        <v>40</v>
      </c>
      <c r="R9" s="1043" t="s">
        <v>19</v>
      </c>
      <c r="S9" s="1029" t="s">
        <v>42</v>
      </c>
      <c r="T9" s="1029" t="s">
        <v>43</v>
      </c>
      <c r="U9" s="1037" t="s">
        <v>43</v>
      </c>
      <c r="W9" s="1204" t="s">
        <v>44</v>
      </c>
      <c r="X9" s="1030" t="s">
        <v>45</v>
      </c>
      <c r="Y9" s="1030" t="s">
        <v>46</v>
      </c>
      <c r="Z9" s="1030" t="s">
        <v>47</v>
      </c>
      <c r="AA9" s="1030" t="s">
        <v>48</v>
      </c>
      <c r="AB9" s="1030" t="s">
        <v>49</v>
      </c>
      <c r="AC9" s="1031" t="s">
        <v>50</v>
      </c>
      <c r="AF9" s="1165" t="s">
        <v>25</v>
      </c>
      <c r="AG9" s="1034" t="s">
        <v>52</v>
      </c>
      <c r="AH9" s="1196" t="s">
        <v>52</v>
      </c>
      <c r="AI9" s="1034" t="s">
        <v>11</v>
      </c>
      <c r="AJ9" s="1102" t="s">
        <v>12</v>
      </c>
      <c r="AK9" s="1149" t="s">
        <v>881</v>
      </c>
      <c r="AL9" s="1021" t="s">
        <v>111</v>
      </c>
      <c r="AM9" s="1022" t="s">
        <v>16</v>
      </c>
      <c r="AN9" s="1022" t="s">
        <v>16</v>
      </c>
      <c r="AO9" s="1023" t="s">
        <v>76</v>
      </c>
      <c r="AP9" s="1024" t="s">
        <v>77</v>
      </c>
      <c r="AQ9" s="1025" t="s">
        <v>879</v>
      </c>
      <c r="AR9" s="1026" t="s">
        <v>68</v>
      </c>
      <c r="AS9" s="1025" t="s">
        <v>65</v>
      </c>
      <c r="AT9" s="1023" t="s">
        <v>71</v>
      </c>
      <c r="AU9" s="1025" t="s">
        <v>134</v>
      </c>
      <c r="AV9" s="1027" t="s">
        <v>132</v>
      </c>
    </row>
    <row r="10" spans="1:48" ht="21" customHeight="1">
      <c r="B10" s="1174" t="str">
        <f>'Input-Output'!BK5</f>
        <v>Section &gt;&gt;</v>
      </c>
      <c r="C10" s="1070"/>
      <c r="D10" s="1032" t="str">
        <f>'Input-Output'!BM5</f>
        <v>8-din</v>
      </c>
      <c r="E10" s="1070" t="s">
        <v>873</v>
      </c>
      <c r="F10" s="1033">
        <f>'Input-Output'!BO5</f>
        <v>3</v>
      </c>
      <c r="G10" s="1071" t="s">
        <v>867</v>
      </c>
      <c r="H10" s="1072"/>
      <c r="I10" s="1033">
        <f>'Input-Output'!BI44</f>
        <v>50</v>
      </c>
      <c r="J10" s="1072" t="s">
        <v>874</v>
      </c>
      <c r="K10" s="1028">
        <f>'Input-Output'!BI46</f>
        <v>475.59927922569437</v>
      </c>
      <c r="L10" s="1073" t="s">
        <v>885</v>
      </c>
      <c r="M10" s="1074"/>
      <c r="N10" s="1075"/>
      <c r="O10" s="1033">
        <f>'Input-Output'!BI47</f>
        <v>7133.9891883854152</v>
      </c>
      <c r="P10" s="1076" t="s">
        <v>869</v>
      </c>
      <c r="Q10" s="1077"/>
      <c r="R10" s="1033">
        <f>'Input-Output'!BI45</f>
        <v>54000</v>
      </c>
      <c r="S10" s="1076" t="s">
        <v>868</v>
      </c>
      <c r="T10" s="1078"/>
      <c r="U10" s="1056">
        <f>'Input-Output'!BI50</f>
        <v>60</v>
      </c>
      <c r="W10" s="1111" t="s">
        <v>103</v>
      </c>
      <c r="X10" s="1136"/>
      <c r="Y10" s="1137"/>
      <c r="Z10" s="1113">
        <f>'Input-Output'!BI32</f>
        <v>1.4999999999999999E-2</v>
      </c>
      <c r="AA10" s="35" t="s">
        <v>102</v>
      </c>
      <c r="AB10" s="10"/>
      <c r="AC10" s="1057">
        <f>'Input-Output'!BI31</f>
        <v>0.65</v>
      </c>
      <c r="AF10" s="1166" t="str">
        <f>B10</f>
        <v>Section &gt;&gt;</v>
      </c>
      <c r="AG10" s="1104"/>
      <c r="AH10" s="1105" t="str">
        <f>D10</f>
        <v>8-din</v>
      </c>
      <c r="AI10" s="1104" t="str">
        <f>E10</f>
        <v>Flrs/S</v>
      </c>
      <c r="AJ10" s="1106">
        <f>F10</f>
        <v>3</v>
      </c>
      <c r="AK10" s="1207">
        <f>SUM(AK11:AK13)</f>
        <v>2</v>
      </c>
      <c r="AL10" s="1114" t="s">
        <v>112</v>
      </c>
      <c r="AM10" s="1115"/>
      <c r="AN10" s="1116">
        <f>'Input-Output'!BI55</f>
        <v>46.370929724505203</v>
      </c>
      <c r="AO10" s="1114" t="s">
        <v>882</v>
      </c>
      <c r="AP10" s="1117"/>
      <c r="AQ10" s="1118"/>
      <c r="AR10" s="1080">
        <f xml:space="preserve"> (SUM(AQ11:AQ13)/AK10) * AJ10</f>
        <v>2511.9370787996149</v>
      </c>
      <c r="AS10" s="1114" t="s">
        <v>884</v>
      </c>
      <c r="AT10" s="1117"/>
      <c r="AU10" s="1118"/>
      <c r="AV10" s="1148">
        <f xml:space="preserve"> (SUM(AV11:AV13)/AK10) * AJ10</f>
        <v>7270.5506808776063</v>
      </c>
    </row>
    <row r="11" spans="1:48" ht="21" customHeight="1">
      <c r="B11" s="1175">
        <f>'Input-Output'!BK6</f>
        <v>61</v>
      </c>
      <c r="C11" s="34">
        <f>'Input-Output'!BL6</f>
        <v>0</v>
      </c>
      <c r="D11" s="1185" t="str">
        <f>'Input-Output'!BM6</f>
        <v>XX</v>
      </c>
      <c r="E11" s="25" t="str">
        <f>'Input-Output'!BN6</f>
        <v>XX</v>
      </c>
      <c r="F11" s="36" t="str">
        <f>'Input-Output'!BO6</f>
        <v>XX</v>
      </c>
      <c r="G11" s="26" t="str">
        <f>IF(E11="XX","XX",((101325*(1-2.25577*(10^(-5))*F11)^5.2555)/1000))</f>
        <v>XX</v>
      </c>
      <c r="H11" s="26" t="str">
        <f xml:space="preserve"> IF(E11="XX", "XX", G11*$AJ$5)</f>
        <v>XX</v>
      </c>
      <c r="I11" s="26" t="str">
        <f>IF(E11="XX", "XX", G11*$AL$5)</f>
        <v>XX</v>
      </c>
      <c r="J11" s="26" t="str">
        <f xml:space="preserve"> IF(E11="XX", "XX",G11*$AN$5)</f>
        <v>XX</v>
      </c>
      <c r="K11" s="26" t="str">
        <f xml:space="preserve"> IF(E11="XX", "XX", ( $K$79 + $U$2 * (E11-$D$2)/$F$2 ) )</f>
        <v>XX</v>
      </c>
      <c r="L11" s="27" t="str">
        <f xml:space="preserve"> IF(E11="XX", "XX", $L$79 - $AA$2*(E11-$E$79))</f>
        <v>XX</v>
      </c>
      <c r="M11" s="27" t="str">
        <f>IF(E11="XX","XX ", $M$79-$AC$2*(E11-$E$79))</f>
        <v xml:space="preserve">XX </v>
      </c>
      <c r="N11" s="28" t="str">
        <f>IF(E11="XX","XX",100.45+33.193*AB11+2.319*AB11^2+0.17074*AB11^3+1.2063*(AA11*0.4897705)^3)</f>
        <v>XX</v>
      </c>
      <c r="O11" s="29" t="str">
        <f>IF(E11="XX","XX ",((1093-0.556*M11)*X11-0.24*(L11-M11))/(1093+0.444*L11-M11))</f>
        <v xml:space="preserve">XX </v>
      </c>
      <c r="P11" s="28" t="str">
        <f xml:space="preserve"> IF(E11="XX", "XX", ((O11/AC11)/(1-(1-(O11/AC11))*(Y11/J11)))*100)</f>
        <v>XX</v>
      </c>
      <c r="Q11" s="41" t="str">
        <f xml:space="preserve"> IF(E11="XX", "XX", 0.7543*(T11*(1+1.6078*O11))/H11)</f>
        <v>XX</v>
      </c>
      <c r="R11" s="42" t="str">
        <f xml:space="preserve"> IF(E11="XX", "XX", 1/Q11)</f>
        <v>XX</v>
      </c>
      <c r="S11" s="37" t="str">
        <f>IF(E11="XX", "XX", 0.24*L11+O11*(1061+0.444*L11))</f>
        <v>XX</v>
      </c>
      <c r="T11" s="30" t="str">
        <f>IF(E11="XX", "XX", L11+459.7)</f>
        <v>XX</v>
      </c>
      <c r="U11" s="44" t="str">
        <f>IF(E11="XX", "XX", M11+459.7)</f>
        <v>XX</v>
      </c>
      <c r="W11" s="1205" t="str">
        <f xml:space="preserve"> IF(E11="XX", "XX", EXP((-10440.397/U11)+(-11.29465) + (-0.027022355*U11) + (0.00001289036*U11*U11) + (-0.0000000024780681*U11^3)+(6.5459673*LN(U11))) )</f>
        <v>XX</v>
      </c>
      <c r="X11" s="21" t="str">
        <f>IF(E11="XX", "XX", 0.62198*W11/(J11-W11))</f>
        <v>XX</v>
      </c>
      <c r="Y11" s="23" t="str">
        <f xml:space="preserve"> IF(E11="XX", "XX", EXP((-10440.397/T11)+(-11.29465) + (-0.027022355*T11) + (0.00001289036*T11*T11) + (-0.0000000024780681*T11^3)+(6.5459673*LN(T11))) )</f>
        <v>XX</v>
      </c>
      <c r="Z11" s="21" t="str">
        <f>IF(E11="XX", "XX", Y11*2.041772658 )</f>
        <v>XX</v>
      </c>
      <c r="AA11" s="21" t="str">
        <f>IF(E11="XX", "XX", (H11*O11)/(0.62198+O11))</f>
        <v>XX</v>
      </c>
      <c r="AB11" s="21" t="str">
        <f>IF(E11="XX", "XX", LN(AA11*0.4897705))</f>
        <v>XX</v>
      </c>
      <c r="AC11" s="1020" t="str">
        <f>IF(E11="XX", "XX", 0.62198*(Y11/(J11-Y11)))</f>
        <v>XX</v>
      </c>
      <c r="AF11" s="1167">
        <f>B11</f>
        <v>61</v>
      </c>
      <c r="AG11" s="25">
        <f t="shared" ref="AG11:AJ11" si="1">C11</f>
        <v>0</v>
      </c>
      <c r="AH11" s="1187" t="str">
        <f t="shared" si="1"/>
        <v>XX</v>
      </c>
      <c r="AI11" s="25" t="str">
        <f t="shared" si="1"/>
        <v>XX</v>
      </c>
      <c r="AJ11" s="1103" t="str">
        <f t="shared" si="1"/>
        <v>XX</v>
      </c>
      <c r="AK11" s="1206">
        <f>IF( (AG11&gt;0),1, 0)</f>
        <v>0</v>
      </c>
      <c r="AL11" s="1109" t="str">
        <f xml:space="preserve"> IF(D11="XX", "XX", E11- $D$2)</f>
        <v>XX</v>
      </c>
      <c r="AM11" s="1018" t="str">
        <f xml:space="preserve"> IF(D11="XX", "XX", $AP$5 * R11 * (T11-$T$5)/$T$5 * $AR$5 * ($H$2-AL11))</f>
        <v>XX</v>
      </c>
      <c r="AN11" s="1018" t="str">
        <f xml:space="preserve"> IF(D11="XX", "XX", $AT$5 * $AP$6^2 * $AT$6 * R11 * K11^2/2)</f>
        <v>XX</v>
      </c>
      <c r="AO11" s="1018" t="str">
        <f xml:space="preserve"> IF(D11="XX", "XX", AM11 +AN11)</f>
        <v>XX</v>
      </c>
      <c r="AP11" s="1018" t="str">
        <f xml:space="preserve"> IF(D11="XX", "XX", AO11 +$Z$10)</f>
        <v>XX</v>
      </c>
      <c r="AQ11" s="12">
        <f xml:space="preserve"> IF(D11="XX", 0, 60 * ($AC$10 * $AN$10 * (2 * ABS(AP11)/R11)^0.5))</f>
        <v>0</v>
      </c>
      <c r="AR11" s="1019" t="str">
        <f>IF(D11="XX", "XX", IF(AP11&lt;0, "Exfl", "Infl"))</f>
        <v>XX</v>
      </c>
      <c r="AS11" s="1006">
        <f xml:space="preserve"> IF(AR11="Infl", -AQ11, AQ11)</f>
        <v>0</v>
      </c>
      <c r="AT11" s="1110" t="str">
        <f>IF(D11="XX", "XX", AS11/$O$10)</f>
        <v>XX</v>
      </c>
      <c r="AU11" s="1006" t="str">
        <f>IF(D11="XX", "XX", AS11*1.08*(L11-$L$6))</f>
        <v>XX</v>
      </c>
      <c r="AV11" s="1047">
        <f xml:space="preserve"> IF(D11="XX", 0, AS11 * 1.08 * $AV$5/1000)</f>
        <v>0</v>
      </c>
    </row>
    <row r="12" spans="1:48" ht="21" customHeight="1">
      <c r="B12" s="1175">
        <f>'Input-Output'!BK7</f>
        <v>60</v>
      </c>
      <c r="C12" s="34">
        <f>'Input-Output'!BL7</f>
        <v>2</v>
      </c>
      <c r="D12" s="1185">
        <f>'Input-Output'!BM7</f>
        <v>101</v>
      </c>
      <c r="E12" s="25">
        <f>'Input-Output'!BN7</f>
        <v>1789</v>
      </c>
      <c r="F12" s="36">
        <f>'Input-Output'!BO7</f>
        <v>545.28719999999998</v>
      </c>
      <c r="G12" s="26">
        <f>IF(E12="XX","XX",((101325*(1-2.25577*(10^(-5))*F12)^5.2555)/1000))</f>
        <v>94.944016522576575</v>
      </c>
      <c r="H12" s="26">
        <f xml:space="preserve"> IF(E12="XX", "XX", G12*$AJ$5)</f>
        <v>28.113401276383378</v>
      </c>
      <c r="I12" s="26">
        <f>IF(E12="XX", "XX", G12*$AL$5)</f>
        <v>381.53877523187714</v>
      </c>
      <c r="J12" s="26">
        <f xml:space="preserve"> IF(E12="XX", "XX",G12*$AN$5)</f>
        <v>13.770459961271531</v>
      </c>
      <c r="K12" s="26">
        <f xml:space="preserve"> IF(E12="XX", "XX", ( $K$79 + $U$2 * (E12-$D$2)/$F$2 ) )</f>
        <v>14.847211611917494</v>
      </c>
      <c r="L12" s="27">
        <f xml:space="preserve"> IF(E12="XX", "XX", $L$79 - $AA$2*(E12-$E$79))</f>
        <v>90.411159999999995</v>
      </c>
      <c r="M12" s="17">
        <f>IF(E12="XX","XX ", $M$79-$AC$2*(E12-$E$79))</f>
        <v>71.983739999999997</v>
      </c>
      <c r="N12" s="28">
        <f>IF(E12="XX","XX",100.45+33.193*AB12+2.319*AB12^2+0.17074*AB12^3+1.2063*(AA12*0.4897705)^3)</f>
        <v>63.422386807085246</v>
      </c>
      <c r="O12" s="29">
        <f>IF(E12="XX","XX ",((1093-0.556*M12)*X12-0.24*(L12-M12))/(1093+0.444*L12-M12))</f>
        <v>1.3773907915609979E-2</v>
      </c>
      <c r="P12" s="28">
        <f xml:space="preserve"> IF(E12="XX", "XX", ((O12/AC12)/(1-(1-(O12/AC12))*(Y12/J12)))*100)</f>
        <v>42.102221179595809</v>
      </c>
      <c r="Q12" s="41">
        <f xml:space="preserve"> IF(E12="XX", "XX", 0.7543*(T12*(1+1.6078*O12))/H12)</f>
        <v>15.08669022355639</v>
      </c>
      <c r="R12" s="42">
        <f xml:space="preserve"> IF(E12="XX", "XX", 1/Q12)</f>
        <v>6.6283590713528268E-2</v>
      </c>
      <c r="S12" s="37">
        <f>IF(E12="XX", "XX", 0.24*L12+O12*(1061+0.444*L12))</f>
        <v>36.865714555080451</v>
      </c>
      <c r="T12" s="30">
        <f>IF(E12="XX", "XX", L12+459.7)</f>
        <v>550.11115999999993</v>
      </c>
      <c r="U12" s="44">
        <f>IF(E12="XX", "XX", M12+459.7)</f>
        <v>531.68373999999994</v>
      </c>
      <c r="W12" s="1202">
        <f xml:space="preserve"> IF(E12="XX", "XX", EXP((-10440.397/U12)+(-11.29465) + (-0.027022355*U12) + (0.00001289036*U12*U12) + (-0.0000000024780681*U12^3)+(6.5459673*LN(U12))) )</f>
        <v>0.38900006735193188</v>
      </c>
      <c r="X12" s="21">
        <f>IF(E12="XX", "XX", 0.62198*W12/(J12-W12))</f>
        <v>1.8081006393143573E-2</v>
      </c>
      <c r="Y12" s="23">
        <f xml:space="preserve"> IF(E12="XX", "XX", EXP((-10440.397/T12)+(-11.29465) + (-0.027022355*T12) + (0.00001289036*T12*T12) + (-0.0000000024780681*T12^3)+(6.5459673*LN(T12))) )</f>
        <v>0.70861701330667337</v>
      </c>
      <c r="Z12" s="21">
        <f>IF(E12="XX", "XX", Y12*2.041772658 )</f>
        <v>1.4468348427631881</v>
      </c>
      <c r="AA12" s="21">
        <f>IF(E12="XX", "XX", (H12*O12)/(0.62198+O12))</f>
        <v>0.60909008274141485</v>
      </c>
      <c r="AB12" s="21">
        <f>IF(E12="XX", "XX", LN(AA12*0.4897705))</f>
        <v>-1.2096074680382196</v>
      </c>
      <c r="AC12" s="70">
        <f>IF(E12="XX", "XX", 0.62198*(Y12/(J12-Y12)))</f>
        <v>3.3742988006539805E-2</v>
      </c>
      <c r="AF12" s="1168">
        <f t="shared" ref="AF12:AF13" si="2">B12</f>
        <v>60</v>
      </c>
      <c r="AG12" s="19">
        <f t="shared" ref="AG12:AG13" si="3">C12</f>
        <v>2</v>
      </c>
      <c r="AH12" s="1188">
        <f t="shared" ref="AH12:AH13" si="4">D12</f>
        <v>101</v>
      </c>
      <c r="AI12" s="19">
        <f t="shared" ref="AI12:AI13" si="5">E12</f>
        <v>1789</v>
      </c>
      <c r="AJ12" s="1100">
        <f t="shared" ref="AJ12:AJ13" si="6">F12</f>
        <v>545.28719999999998</v>
      </c>
      <c r="AK12" s="1146">
        <f t="shared" ref="AK12:AK13" si="7">IF( (AG12&gt;0),1, 0)</f>
        <v>1</v>
      </c>
      <c r="AL12" s="97">
        <f xml:space="preserve"> IF(D12="XX", "XX", E12- $D$2)</f>
        <v>1289</v>
      </c>
      <c r="AM12" s="75">
        <f xml:space="preserve"> IF(D12="XX", "XX", $AP$5 * R12 * (T12-$T$5)/$T$5 * $AR$5 * ($H$2-AL12))</f>
        <v>-2.3319274975144817E-2</v>
      </c>
      <c r="AN12" s="75">
        <f xml:space="preserve"> IF(D12="XX", "XX", $AT$5 * $AP$6^2 * $AT$6 * R12 * K12^2/2)</f>
        <v>9.8773972304466891E-4</v>
      </c>
      <c r="AO12" s="75">
        <f xml:space="preserve"> IF(D12="XX", "XX", AM12 +AN12)</f>
        <v>-2.2331535252100146E-2</v>
      </c>
      <c r="AP12" s="75">
        <f xml:space="preserve"> IF(D12="XX", "XX", AO12 +$Z$10)</f>
        <v>-7.3315352521001464E-3</v>
      </c>
      <c r="AQ12" s="12">
        <f t="shared" ref="AQ12:AQ13" si="8" xml:space="preserve"> IF(D12="XX", 0, 60 * ($AC$10 * $AN$10 * (2 * ABS(AP12)/R12)^0.5))</f>
        <v>850.58918875795655</v>
      </c>
      <c r="AR12" s="13" t="str">
        <f>IF(D12="XX", "XX", IF(AP12&lt;0, "Exfl", "Infl"))</f>
        <v>Exfl</v>
      </c>
      <c r="AS12" s="12">
        <f xml:space="preserve"> IF(AR12="Infl", -AQ12, AQ12)</f>
        <v>850.58918875795655</v>
      </c>
      <c r="AT12" s="98">
        <f>IF(D12="XX", "XX", AS12/$O$10)</f>
        <v>0.11923051273231104</v>
      </c>
      <c r="AU12" s="12">
        <f>IF(D12="XX", "XX", AS12*1.08*(L12-$L$6))</f>
        <v>14157.251368796593</v>
      </c>
      <c r="AV12" s="1047">
        <f t="shared" ref="AV12:AV13" si="9" xml:space="preserve"> IF(D12="XX", 0, AS12 * 1.08 * $AV$5/1000)</f>
        <v>2461.9453479410299</v>
      </c>
    </row>
    <row r="13" spans="1:48" ht="21" customHeight="1" thickBot="1">
      <c r="B13" s="1176">
        <f>'Input-Output'!BK8</f>
        <v>59</v>
      </c>
      <c r="C13" s="58">
        <f>'Input-Output'!BL8</f>
        <v>1</v>
      </c>
      <c r="D13" s="1186">
        <f>'Input-Output'!BM8</f>
        <v>100</v>
      </c>
      <c r="E13" s="47">
        <f>'Input-Output'!BN8</f>
        <v>1774</v>
      </c>
      <c r="F13" s="59">
        <f>'Input-Output'!BO8</f>
        <v>540.71519999999998</v>
      </c>
      <c r="G13" s="48">
        <f>IF(E13="XX","XX",((101325*(1-2.25577*(10^(-5))*F13)^5.2555)/1000))</f>
        <v>94.996130509782816</v>
      </c>
      <c r="H13" s="48">
        <f xml:space="preserve"> IF(E13="XX", "XX", G13*$AJ$5)</f>
        <v>28.128832490356647</v>
      </c>
      <c r="I13" s="48">
        <f>IF(E13="XX", "XX", G13*$AL$5)</f>
        <v>381.74819871720433</v>
      </c>
      <c r="J13" s="48">
        <f xml:space="preserve"> IF(E13="XX", "XX",G13*$AN$5)</f>
        <v>13.778018453112617</v>
      </c>
      <c r="K13" s="48">
        <f xml:space="preserve"> IF(E13="XX", "XX", ( $K$79 + $U$2 * (E13-$D$2)/$F$2 ) )</f>
        <v>14.732620320855615</v>
      </c>
      <c r="L13" s="60">
        <f xml:space="preserve"> IF(E13="XX", "XX", $L$79 - $AA$2*(E13-$E$79))</f>
        <v>90.464560000000006</v>
      </c>
      <c r="M13" s="60">
        <f>IF(E13="XX","XX ", $M$79-$AC$2*(E13-$E$79))</f>
        <v>72.018839999999997</v>
      </c>
      <c r="N13" s="61">
        <f>IF(E13="XX","XX",100.45+33.193*AB13+2.319*AB13^2+0.17074*AB13^3+1.2063*(AA13*0.4897705)^3)</f>
        <v>63.45306694823951</v>
      </c>
      <c r="O13" s="62">
        <f>IF(E13="XX","XX ",((1093-0.556*M13)*X13-0.24*(L13-M13))/(1093+0.444*L13-M13))</f>
        <v>1.3781377338057335E-2</v>
      </c>
      <c r="P13" s="61">
        <f xml:space="preserve"> IF(E13="XX", "XX", ((O13/AC13)/(1-(1-(O13/AC13))*(Y13/J13)))*100)</f>
        <v>42.077278914390462</v>
      </c>
      <c r="Q13" s="101">
        <f xml:space="preserve"> IF(E13="XX", "XX", 0.7543*(T13*(1+1.6078*O13))/H13)</f>
        <v>15.080054663383269</v>
      </c>
      <c r="R13" s="105">
        <f xml:space="preserve"> IF(E13="XX", "XX", 1/Q13)</f>
        <v>6.6312756970845502E-2</v>
      </c>
      <c r="S13" s="63">
        <f>IF(E13="XX", "XX", 0.24*L13+O13*(1061+0.444*L13))</f>
        <v>36.887082204942942</v>
      </c>
      <c r="T13" s="64">
        <f>IF(E13="XX", "XX", L13+459.7)</f>
        <v>550.16455999999994</v>
      </c>
      <c r="U13" s="65">
        <f>IF(E13="XX", "XX", M13+459.7)</f>
        <v>531.71884</v>
      </c>
      <c r="W13" s="1203">
        <f xml:space="preserve"> IF(E13="XX", "XX", EXP((-10440.397/U13)+(-11.29465) + (-0.027022355*U13) + (0.00001289036*U13*U13) + (-0.0000000024780681*U13^3)+(6.5459673*LN(U13))) )</f>
        <v>0.3894621868828696</v>
      </c>
      <c r="X13" s="71">
        <f>IF(E13="XX", "XX", 0.62198*W13/(J13-W13))</f>
        <v>1.8092891136321301E-2</v>
      </c>
      <c r="Y13" s="62">
        <f xml:space="preserve"> IF(E13="XX", "XX", EXP((-10440.397/T13)+(-11.29465) + (-0.027022355*T13) + (0.00001289036*T13*T13) + (-0.0000000024780681*T13^3)+(6.5459673*LN(T13))) )</f>
        <v>0.70980262056493959</v>
      </c>
      <c r="Z13" s="71">
        <f>IF(E13="XX", "XX", Y13*2.041772658 )</f>
        <v>1.4492555832462424</v>
      </c>
      <c r="AA13" s="71">
        <f>IF(E13="XX", "XX", (H13*O13)/(0.62198+O13))</f>
        <v>0.60974772681493405</v>
      </c>
      <c r="AB13" s="71">
        <f>IF(E13="XX", "XX", LN(AA13*0.4897705))</f>
        <v>-1.208528334896495</v>
      </c>
      <c r="AC13" s="74">
        <f>IF(E13="XX", "XX", 0.62198*(Y13/(J13-Y13)))</f>
        <v>3.3782961622000778E-2</v>
      </c>
      <c r="AF13" s="1169">
        <f t="shared" si="2"/>
        <v>59</v>
      </c>
      <c r="AG13" s="47">
        <f t="shared" si="3"/>
        <v>1</v>
      </c>
      <c r="AH13" s="1189">
        <f t="shared" si="4"/>
        <v>100</v>
      </c>
      <c r="AI13" s="47">
        <f t="shared" si="5"/>
        <v>1774</v>
      </c>
      <c r="AJ13" s="1101">
        <f t="shared" si="6"/>
        <v>540.71519999999998</v>
      </c>
      <c r="AK13" s="1147">
        <f t="shared" si="7"/>
        <v>1</v>
      </c>
      <c r="AL13" s="99">
        <f xml:space="preserve"> IF(D13="XX", "XX", E13- $D$2)</f>
        <v>1274</v>
      </c>
      <c r="AM13" s="1">
        <f xml:space="preserve"> IF(D13="XX", "XX", $AP$5 * R13 * (T13-$T$5)/$T$5 * $AR$5 * ($H$2-AL13))</f>
        <v>-2.2856936597043482E-2</v>
      </c>
      <c r="AN13" s="1">
        <f xml:space="preserve"> IF(D13="XX", "XX", $AT$5 * $AP$6^2 * $AT$6 * R13 * K13^2/2)</f>
        <v>9.7297968675651527E-4</v>
      </c>
      <c r="AO13" s="1">
        <f xml:space="preserve"> IF(D13="XX", "XX", AM13 +AN13)</f>
        <v>-2.1883956910286967E-2</v>
      </c>
      <c r="AP13" s="1">
        <f xml:space="preserve"> IF(D13="XX", "XX", AO13 +$Z$10)</f>
        <v>-6.8839569102869674E-3</v>
      </c>
      <c r="AQ13" s="12">
        <f t="shared" si="8"/>
        <v>824.03553044178682</v>
      </c>
      <c r="AR13" s="15" t="str">
        <f>IF(D13="XX", "XX", IF(AP13&lt;0, "Exfl", "Infl"))</f>
        <v>Exfl</v>
      </c>
      <c r="AS13" s="14">
        <f xml:space="preserve"> IF(AR13="Infl", -AQ13, AQ13)</f>
        <v>824.03553044178682</v>
      </c>
      <c r="AT13" s="100">
        <f>IF(D13="XX", "XX", AS13/$O$10)</f>
        <v>0.11550837948890764</v>
      </c>
      <c r="AU13" s="14">
        <f>IF(D13="XX", "XX", AS13*1.08*(L13-$L$6))</f>
        <v>13762.814654860751</v>
      </c>
      <c r="AV13" s="1047">
        <f t="shared" si="9"/>
        <v>2385.0884393107081</v>
      </c>
    </row>
    <row r="14" spans="1:48" ht="21" customHeight="1">
      <c r="B14" s="1177" t="str">
        <f>'Input-Output'!BK9</f>
        <v>Section &gt;&gt;</v>
      </c>
      <c r="C14" s="1079"/>
      <c r="D14" s="1080" t="str">
        <f>'Input-Output'!BM9</f>
        <v>7-Apt</v>
      </c>
      <c r="E14" s="1079" t="s">
        <v>873</v>
      </c>
      <c r="F14" s="1081">
        <f>'Input-Output'!BO9</f>
        <v>19</v>
      </c>
      <c r="G14" s="1082" t="s">
        <v>867</v>
      </c>
      <c r="H14" s="1083"/>
      <c r="I14" s="1081">
        <f>'Input-Output'!BH44</f>
        <v>170</v>
      </c>
      <c r="J14" s="1083" t="s">
        <v>874</v>
      </c>
      <c r="K14" s="1084">
        <f>'Input-Output'!BH46</f>
        <v>475.59927922569437</v>
      </c>
      <c r="L14" s="1073" t="s">
        <v>885</v>
      </c>
      <c r="M14" s="1085"/>
      <c r="N14" s="1086"/>
      <c r="O14" s="1081">
        <f>'Input-Output'!BH47</f>
        <v>4755.9927922569441</v>
      </c>
      <c r="P14" s="1087" t="s">
        <v>869</v>
      </c>
      <c r="Q14" s="1088"/>
      <c r="R14" s="1081">
        <f>'Input-Output'!BH45</f>
        <v>288000</v>
      </c>
      <c r="S14" s="1087" t="s">
        <v>868</v>
      </c>
      <c r="T14" s="1089"/>
      <c r="U14" s="1090">
        <f>'Input-Output'!BH50</f>
        <v>45</v>
      </c>
      <c r="W14" s="1111" t="s">
        <v>103</v>
      </c>
      <c r="X14" s="1112"/>
      <c r="Y14" s="1112"/>
      <c r="Z14" s="1113">
        <f>'Input-Output'!BH32</f>
        <v>0.01</v>
      </c>
      <c r="AA14" s="35" t="s">
        <v>102</v>
      </c>
      <c r="AB14" s="10"/>
      <c r="AC14" s="1057">
        <f>'Input-Output'!BH31</f>
        <v>0.65</v>
      </c>
      <c r="AF14" s="1166" t="str">
        <f>B14</f>
        <v>Section &gt;&gt;</v>
      </c>
      <c r="AG14" s="1104"/>
      <c r="AH14" s="1105" t="str">
        <f>D14</f>
        <v>7-Apt</v>
      </c>
      <c r="AI14" s="1104" t="str">
        <f>E14</f>
        <v>Flrs/S</v>
      </c>
      <c r="AJ14" s="1106">
        <f>F14</f>
        <v>19</v>
      </c>
      <c r="AK14" s="1207">
        <f>SUM(AK15:AK24)</f>
        <v>9</v>
      </c>
      <c r="AL14" s="1114" t="s">
        <v>112</v>
      </c>
      <c r="AM14" s="1115"/>
      <c r="AN14" s="1116">
        <f>'Input-Output'!BH55</f>
        <v>45.18193152644097</v>
      </c>
      <c r="AO14" s="1114" t="s">
        <v>882</v>
      </c>
      <c r="AP14" s="1117"/>
      <c r="AQ14" s="1118"/>
      <c r="AR14" s="1080">
        <f xml:space="preserve"> (SUM(AQ15:AQ24)/AK14) * AJ14</f>
        <v>17888.073683196952</v>
      </c>
      <c r="AS14" s="1114" t="s">
        <v>884</v>
      </c>
      <c r="AT14" s="1117"/>
      <c r="AU14" s="1118"/>
      <c r="AV14" s="1148">
        <f xml:space="preserve"> (SUM(AV15:AV24)/AK14) * AJ14</f>
        <v>57957.358733558125</v>
      </c>
    </row>
    <row r="15" spans="1:48" ht="21" customHeight="1">
      <c r="B15" s="1168">
        <f>'Input-Output'!BK10</f>
        <v>58</v>
      </c>
      <c r="C15" s="19">
        <f>'Input-Output'!BL10</f>
        <v>0</v>
      </c>
      <c r="D15" s="1188" t="str">
        <f>'Input-Output'!BM10</f>
        <v>XX</v>
      </c>
      <c r="E15" s="19" t="str">
        <f>'Input-Output'!BN10</f>
        <v>XX</v>
      </c>
      <c r="F15" s="19" t="str">
        <f>'Input-Output'!BO10</f>
        <v>XX</v>
      </c>
      <c r="G15" s="20" t="str">
        <f t="shared" ref="G15:G26" si="10">IF(E15="XX","XX",((101325*(1-2.25577*(10^(-5))*F15)^5.2555)/1000))</f>
        <v>XX</v>
      </c>
      <c r="H15" s="20" t="str">
        <f t="shared" ref="H15:H26" si="11" xml:space="preserve"> IF(E15="XX", "XX", G15*$AJ$5)</f>
        <v>XX</v>
      </c>
      <c r="I15" s="20" t="str">
        <f t="shared" ref="I15:I26" si="12">IF(E15="XX", "XX", G15*$AL$5)</f>
        <v>XX</v>
      </c>
      <c r="J15" s="20" t="str">
        <f t="shared" ref="J15:J26" si="13" xml:space="preserve"> IF(E15="XX", "XX",G15*$AN$5)</f>
        <v>XX</v>
      </c>
      <c r="K15" s="20" t="str">
        <f t="shared" ref="K15:K26" si="14" xml:space="preserve"> IF(E15="XX", "XX", ( $K$79 + $U$2 * (E15-$D$2)/$F$2 ) )</f>
        <v>XX</v>
      </c>
      <c r="L15" s="27" t="str">
        <f t="shared" ref="L15:L26" si="15" xml:space="preserve"> IF(E15="XX", "XX", $L$79 - $AA$2*(E15-$E$79))</f>
        <v>XX</v>
      </c>
      <c r="M15" s="17" t="str">
        <f t="shared" ref="M15:M26" si="16">IF(E15="XX","XX ", $M$79-$AC$2*(E15-$E$79))</f>
        <v xml:space="preserve">XX </v>
      </c>
      <c r="N15" s="22" t="str">
        <f t="shared" ref="N15:N26" si="17">IF(E15="XX","XX",100.45+33.193*AB15+2.319*AB15^2+0.17074*AB15^3+1.2063*(AA15*0.4897705)^3)</f>
        <v>XX</v>
      </c>
      <c r="O15" s="23" t="str">
        <f t="shared" ref="O15:O26" si="18">IF(E15="XX","XX ",((1093-0.556*M15)*X15-0.24*(L15-M15))/(1093+0.444*L15-M15))</f>
        <v xml:space="preserve">XX </v>
      </c>
      <c r="P15" s="22" t="str">
        <f t="shared" ref="P15:P26" si="19" xml:space="preserve"> IF(E15="XX", "XX", ((O15/AC15)/(1-(1-(O15/AC15))*(Y15/J15)))*100)</f>
        <v>XX</v>
      </c>
      <c r="Q15" s="102" t="str">
        <f t="shared" ref="Q15:Q26" si="20" xml:space="preserve"> IF(E15="XX", "XX", 0.7543*(T15*(1+1.6078*O15))/H15)</f>
        <v>XX</v>
      </c>
      <c r="R15" s="106" t="str">
        <f t="shared" ref="R15:R26" si="21" xml:space="preserve"> IF(E15="XX", "XX", 1/Q15)</f>
        <v>XX</v>
      </c>
      <c r="S15" s="32" t="str">
        <f t="shared" ref="S15:S26" si="22">IF(E15="XX", "XX", 0.24*L15+O15*(1061+0.444*L15))</f>
        <v>XX</v>
      </c>
      <c r="T15" s="24" t="str">
        <f t="shared" ref="T15:T26" si="23">IF(E15="XX", "XX", L15+459.7)</f>
        <v>XX</v>
      </c>
      <c r="U15" s="66" t="str">
        <f t="shared" ref="U15:U26" si="24">IF(E15="XX", "XX", M15+459.7)</f>
        <v>XX</v>
      </c>
      <c r="W15" s="1202" t="str">
        <f t="shared" ref="W15:W26" si="25" xml:space="preserve"> IF(E15="XX", "XX", EXP((-10440.397/U15)+(-11.29465) + (-0.027022355*U15) + (0.00001289036*U15*U15) + (-0.0000000024780681*U15^3)+(6.5459673*LN(U15))) )</f>
        <v>XX</v>
      </c>
      <c r="X15" s="21" t="str">
        <f t="shared" ref="X15:X26" si="26">IF(E15="XX", "XX", 0.62198*W15/(J15-W15))</f>
        <v>XX</v>
      </c>
      <c r="Y15" s="23" t="str">
        <f t="shared" ref="Y15:Y26" si="27" xml:space="preserve"> IF(E15="XX", "XX", EXP((-10440.397/T15)+(-11.29465) + (-0.027022355*T15) + (0.00001289036*T15*T15) + (-0.0000000024780681*T15^3)+(6.5459673*LN(T15))) )</f>
        <v>XX</v>
      </c>
      <c r="Z15" s="21" t="str">
        <f t="shared" ref="Z15:Z26" si="28">IF(E15="XX", "XX", Y15*2.041772658 )</f>
        <v>XX</v>
      </c>
      <c r="AA15" s="21" t="str">
        <f t="shared" ref="AA15:AA26" si="29">IF(E15="XX", "XX", (H15*O15)/(0.62198+O15))</f>
        <v>XX</v>
      </c>
      <c r="AB15" s="21" t="str">
        <f t="shared" ref="AB15:AB26" si="30">IF(E15="XX", "XX", LN(AA15*0.4897705))</f>
        <v>XX</v>
      </c>
      <c r="AC15" s="70" t="str">
        <f t="shared" ref="AC15:AC26" si="31">IF(E15="XX", "XX", 0.62198*(Y15/(J15-Y15)))</f>
        <v>XX</v>
      </c>
      <c r="AF15" s="1168">
        <f t="shared" ref="AF15:AF26" si="32">B15</f>
        <v>58</v>
      </c>
      <c r="AG15" s="19">
        <f t="shared" ref="AG15:AG26" si="33">C15</f>
        <v>0</v>
      </c>
      <c r="AH15" s="1188" t="str">
        <f t="shared" ref="AH15:AH26" si="34">D15</f>
        <v>XX</v>
      </c>
      <c r="AI15" s="19" t="str">
        <f t="shared" ref="AI15:AI26" si="35">E15</f>
        <v>XX</v>
      </c>
      <c r="AJ15" s="1100" t="str">
        <f t="shared" ref="AJ15:AJ26" si="36">F15</f>
        <v>XX</v>
      </c>
      <c r="AK15" s="1146">
        <f t="shared" ref="AK15:AK26" si="37">IF( (AG15&gt;0),1, 0)</f>
        <v>0</v>
      </c>
      <c r="AL15" s="97" t="str">
        <f t="shared" ref="AL15:AL26" si="38" xml:space="preserve"> IF(D15="XX", "XX", E15- $D$2)</f>
        <v>XX</v>
      </c>
      <c r="AM15" s="75" t="str">
        <f t="shared" ref="AM15:AM26" si="39" xml:space="preserve"> IF(D15="XX", "XX", $AP$5 * R15 * (T15-$T$5)/$T$5 * $AR$5 * ($H$2-AL15))</f>
        <v>XX</v>
      </c>
      <c r="AN15" s="75" t="str">
        <f t="shared" ref="AN15:AN26" si="40" xml:space="preserve"> IF(D15="XX", "XX", $AT$5 * $AP$6^2 * $AT$6 * R15 * K15^2/2)</f>
        <v>XX</v>
      </c>
      <c r="AO15" s="75" t="str">
        <f t="shared" ref="AO15:AO26" si="41" xml:space="preserve"> IF(D15="XX", "XX", AM15 +AN15)</f>
        <v>XX</v>
      </c>
      <c r="AP15" s="75" t="str">
        <f xml:space="preserve"> IF(D15="XX", "XX", AO15 +$Z$14)</f>
        <v>XX</v>
      </c>
      <c r="AQ15" s="12">
        <f xml:space="preserve"> IF(D15="XX", 0, 60 * ($AC$14 * $AN$14 * (2 * ABS(AP15)/R15)^0.5))</f>
        <v>0</v>
      </c>
      <c r="AR15" s="13" t="str">
        <f t="shared" ref="AR15:AR26" si="42">IF(D15="XX", "XX", IF(AP15&lt;0, "Exfl", "Infl"))</f>
        <v>XX</v>
      </c>
      <c r="AS15" s="12">
        <f t="shared" ref="AS15:AS26" si="43" xml:space="preserve"> IF(AR15="Infl", -AQ15, AQ15)</f>
        <v>0</v>
      </c>
      <c r="AT15" s="98" t="str">
        <f>IF(D15="XX", "XX", AS15/$O$14)</f>
        <v>XX</v>
      </c>
      <c r="AU15" s="12" t="str">
        <f t="shared" ref="AU15:AU26" si="44">IF(D15="XX", "XX", AS15*1.08*(L15-$L$6))</f>
        <v>XX</v>
      </c>
      <c r="AV15" s="1047">
        <f t="shared" ref="AV15:AV26" si="45" xml:space="preserve"> IF(D15="XX", 0, AS15 * 1.08 * 3000/1000)</f>
        <v>0</v>
      </c>
    </row>
    <row r="16" spans="1:48" ht="21" customHeight="1">
      <c r="B16" s="1168">
        <f>'Input-Output'!BK11</f>
        <v>57</v>
      </c>
      <c r="C16" s="19">
        <f>'Input-Output'!BL11</f>
        <v>19</v>
      </c>
      <c r="D16" s="1188">
        <f>'Input-Output'!BM11</f>
        <v>102</v>
      </c>
      <c r="E16" s="19">
        <f>'Input-Output'!BN11</f>
        <v>1779</v>
      </c>
      <c r="F16" s="19">
        <f>'Input-Output'!BO11</f>
        <v>542.23919999999998</v>
      </c>
      <c r="G16" s="20">
        <f t="shared" si="10"/>
        <v>94.978756607807099</v>
      </c>
      <c r="H16" s="20">
        <f t="shared" si="11"/>
        <v>28.123687990514853</v>
      </c>
      <c r="I16" s="20">
        <f t="shared" si="12"/>
        <v>381.67838054936607</v>
      </c>
      <c r="J16" s="20">
        <f t="shared" si="13"/>
        <v>13.775498582663795</v>
      </c>
      <c r="K16" s="20">
        <f t="shared" si="14"/>
        <v>14.770817417876241</v>
      </c>
      <c r="L16" s="27">
        <f t="shared" si="15"/>
        <v>90.446759999999998</v>
      </c>
      <c r="M16" s="17">
        <f t="shared" si="16"/>
        <v>72.007139999999993</v>
      </c>
      <c r="N16" s="22">
        <f t="shared" si="17"/>
        <v>63.442839639716354</v>
      </c>
      <c r="O16" s="23">
        <f t="shared" si="18"/>
        <v>1.3778886922957626E-2</v>
      </c>
      <c r="P16" s="22">
        <f t="shared" si="19"/>
        <v>42.085589460543673</v>
      </c>
      <c r="Q16" s="102">
        <f t="shared" si="20"/>
        <v>15.082266098022327</v>
      </c>
      <c r="R16" s="106">
        <f t="shared" si="21"/>
        <v>6.6303033874407363E-2</v>
      </c>
      <c r="S16" s="32">
        <f t="shared" si="22"/>
        <v>36.879958946551056</v>
      </c>
      <c r="T16" s="24">
        <f t="shared" si="23"/>
        <v>550.14675999999997</v>
      </c>
      <c r="U16" s="66">
        <f t="shared" si="24"/>
        <v>531.70713999999998</v>
      </c>
      <c r="W16" s="1202">
        <f t="shared" si="25"/>
        <v>0.38930809375757197</v>
      </c>
      <c r="X16" s="21">
        <f t="shared" si="26"/>
        <v>1.8088928911926747E-2</v>
      </c>
      <c r="Y16" s="23">
        <f t="shared" si="27"/>
        <v>0.70940722699416536</v>
      </c>
      <c r="Z16" s="21">
        <f t="shared" si="28"/>
        <v>1.4484482794642866</v>
      </c>
      <c r="AA16" s="21">
        <f t="shared" si="29"/>
        <v>0.60952843074422502</v>
      </c>
      <c r="AB16" s="21">
        <f t="shared" si="30"/>
        <v>-1.2088880500794978</v>
      </c>
      <c r="AC16" s="70">
        <f t="shared" si="31"/>
        <v>3.3769632787265767E-2</v>
      </c>
      <c r="AF16" s="1168">
        <f t="shared" si="32"/>
        <v>57</v>
      </c>
      <c r="AG16" s="19">
        <f t="shared" si="33"/>
        <v>19</v>
      </c>
      <c r="AH16" s="1188">
        <f t="shared" si="34"/>
        <v>102</v>
      </c>
      <c r="AI16" s="19">
        <f t="shared" si="35"/>
        <v>1779</v>
      </c>
      <c r="AJ16" s="1100">
        <f t="shared" si="36"/>
        <v>542.23919999999998</v>
      </c>
      <c r="AK16" s="1146">
        <f t="shared" si="37"/>
        <v>1</v>
      </c>
      <c r="AL16" s="97">
        <f t="shared" si="38"/>
        <v>1279</v>
      </c>
      <c r="AM16" s="75">
        <f t="shared" si="39"/>
        <v>-2.3011519845844677E-2</v>
      </c>
      <c r="AN16" s="75">
        <f t="shared" si="40"/>
        <v>9.7788809018089888E-4</v>
      </c>
      <c r="AO16" s="75">
        <f t="shared" si="41"/>
        <v>-2.203363175566378E-2</v>
      </c>
      <c r="AP16" s="75">
        <f t="shared" ref="AP16:AP26" si="46" xml:space="preserve"> IF(D16="XX", "XX", AO16 +$Z$14)</f>
        <v>-1.2033631755663779E-2</v>
      </c>
      <c r="AQ16" s="12">
        <f t="shared" ref="AQ16:AQ26" si="47" xml:space="preserve"> IF(D16="XX", 0, 60 * ($AC$14 * $AN$14 * (2 * ABS(AP16)/R16)^0.5))</f>
        <v>1061.6370243190252</v>
      </c>
      <c r="AR16" s="13" t="str">
        <f t="shared" si="42"/>
        <v>Exfl</v>
      </c>
      <c r="AS16" s="12">
        <f t="shared" si="43"/>
        <v>1061.6370243190252</v>
      </c>
      <c r="AT16" s="98">
        <f t="shared" ref="AT16:AT26" si="48">IF(D16="XX", "XX", AS16/$O$14)</f>
        <v>0.22322090690453467</v>
      </c>
      <c r="AU16" s="12">
        <f t="shared" si="44"/>
        <v>17710.760507511754</v>
      </c>
      <c r="AV16" s="1047">
        <f t="shared" si="45"/>
        <v>3439.7039587936415</v>
      </c>
    </row>
    <row r="17" spans="2:48" ht="21" customHeight="1">
      <c r="B17" s="1168">
        <f>'Input-Output'!BK12</f>
        <v>56</v>
      </c>
      <c r="C17" s="19">
        <f>'Input-Output'!BL12</f>
        <v>17</v>
      </c>
      <c r="D17" s="1188">
        <f>'Input-Output'!BM12</f>
        <v>100</v>
      </c>
      <c r="E17" s="19">
        <f>'Input-Output'!BN12</f>
        <v>1759</v>
      </c>
      <c r="F17" s="19">
        <f>'Input-Output'!BO12</f>
        <v>536.14319999999998</v>
      </c>
      <c r="G17" s="20">
        <f t="shared" si="10"/>
        <v>95.048267656650467</v>
      </c>
      <c r="H17" s="20">
        <f t="shared" si="11"/>
        <v>28.144270562022253</v>
      </c>
      <c r="I17" s="20">
        <f t="shared" si="12"/>
        <v>381.9577152711542</v>
      </c>
      <c r="J17" s="20">
        <f t="shared" si="13"/>
        <v>13.78558030397728</v>
      </c>
      <c r="K17" s="20">
        <f t="shared" si="14"/>
        <v>14.618029029793735</v>
      </c>
      <c r="L17" s="27">
        <f t="shared" si="15"/>
        <v>90.517960000000002</v>
      </c>
      <c r="M17" s="17">
        <f t="shared" si="16"/>
        <v>72.053939999999997</v>
      </c>
      <c r="N17" s="22">
        <f t="shared" si="17"/>
        <v>63.483752441248811</v>
      </c>
      <c r="O17" s="23">
        <f t="shared" si="18"/>
        <v>1.378885222971874E-2</v>
      </c>
      <c r="P17" s="22">
        <f t="shared" si="19"/>
        <v>42.05236850598844</v>
      </c>
      <c r="Q17" s="102">
        <f t="shared" si="20"/>
        <v>15.073422870854808</v>
      </c>
      <c r="R17" s="106">
        <f t="shared" si="21"/>
        <v>6.6341932324710959E-2</v>
      </c>
      <c r="S17" s="32">
        <f t="shared" si="22"/>
        <v>36.908456231643143</v>
      </c>
      <c r="T17" s="24">
        <f t="shared" si="23"/>
        <v>550.21795999999995</v>
      </c>
      <c r="U17" s="66">
        <f t="shared" si="24"/>
        <v>531.75393999999994</v>
      </c>
      <c r="W17" s="1202">
        <f t="shared" si="25"/>
        <v>0.38992478613515491</v>
      </c>
      <c r="X17" s="21">
        <f t="shared" si="26"/>
        <v>1.8104781670244943E-2</v>
      </c>
      <c r="Y17" s="23">
        <f t="shared" si="27"/>
        <v>0.71098994911078583</v>
      </c>
      <c r="Z17" s="21">
        <f t="shared" si="28"/>
        <v>1.451679838207214</v>
      </c>
      <c r="AA17" s="21">
        <f t="shared" si="29"/>
        <v>0.61040610362070136</v>
      </c>
      <c r="AB17" s="21">
        <f t="shared" si="30"/>
        <v>-1.2074491646259264</v>
      </c>
      <c r="AC17" s="70">
        <f t="shared" si="31"/>
        <v>3.3822973916986028E-2</v>
      </c>
      <c r="AF17" s="1168">
        <f t="shared" si="32"/>
        <v>56</v>
      </c>
      <c r="AG17" s="19">
        <f t="shared" si="33"/>
        <v>17</v>
      </c>
      <c r="AH17" s="1188">
        <f t="shared" si="34"/>
        <v>100</v>
      </c>
      <c r="AI17" s="19">
        <f t="shared" si="35"/>
        <v>1759</v>
      </c>
      <c r="AJ17" s="1100">
        <f t="shared" si="36"/>
        <v>536.14319999999998</v>
      </c>
      <c r="AK17" s="1146">
        <f t="shared" si="37"/>
        <v>1</v>
      </c>
      <c r="AL17" s="97">
        <f t="shared" si="38"/>
        <v>1259</v>
      </c>
      <c r="AM17" s="75">
        <f t="shared" si="39"/>
        <v>-2.2390361785783301E-2</v>
      </c>
      <c r="AN17" s="75">
        <f t="shared" si="40"/>
        <v>9.5832419480016535E-4</v>
      </c>
      <c r="AO17" s="75">
        <f t="shared" si="41"/>
        <v>-2.1432037590983135E-2</v>
      </c>
      <c r="AP17" s="75">
        <f t="shared" si="46"/>
        <v>-1.1432037590983135E-2</v>
      </c>
      <c r="AQ17" s="12">
        <f t="shared" si="47"/>
        <v>1034.456329742929</v>
      </c>
      <c r="AR17" s="13" t="str">
        <f t="shared" si="42"/>
        <v>Exfl</v>
      </c>
      <c r="AS17" s="12">
        <f t="shared" si="43"/>
        <v>1034.456329742929</v>
      </c>
      <c r="AT17" s="98">
        <f t="shared" si="48"/>
        <v>0.21750586574207789</v>
      </c>
      <c r="AU17" s="12">
        <f t="shared" si="44"/>
        <v>17336.864102433392</v>
      </c>
      <c r="AV17" s="1047">
        <f t="shared" si="45"/>
        <v>3351.6385083670898</v>
      </c>
    </row>
    <row r="18" spans="2:48" ht="21" customHeight="1">
      <c r="B18" s="1168">
        <f>'Input-Output'!BK13</f>
        <v>55</v>
      </c>
      <c r="C18" s="19">
        <f>'Input-Output'!BL13</f>
        <v>15</v>
      </c>
      <c r="D18" s="1188">
        <f>'Input-Output'!BM13</f>
        <v>98</v>
      </c>
      <c r="E18" s="19">
        <f>'Input-Output'!BN13</f>
        <v>1739</v>
      </c>
      <c r="F18" s="19">
        <f>'Input-Output'!BO13</f>
        <v>530.04719999999998</v>
      </c>
      <c r="G18" s="20">
        <f t="shared" si="10"/>
        <v>95.117819892221476</v>
      </c>
      <c r="H18" s="20">
        <f t="shared" si="11"/>
        <v>28.164865329127061</v>
      </c>
      <c r="I18" s="20">
        <f t="shared" si="12"/>
        <v>382.23721550451637</v>
      </c>
      <c r="J18" s="20">
        <f t="shared" si="13"/>
        <v>13.795667998918223</v>
      </c>
      <c r="K18" s="20">
        <f t="shared" si="14"/>
        <v>14.46524064171123</v>
      </c>
      <c r="L18" s="27">
        <f t="shared" si="15"/>
        <v>90.589160000000007</v>
      </c>
      <c r="M18" s="17">
        <f t="shared" si="16"/>
        <v>72.100740000000002</v>
      </c>
      <c r="N18" s="22">
        <f t="shared" si="17"/>
        <v>63.524674751644163</v>
      </c>
      <c r="O18" s="23">
        <f t="shared" si="18"/>
        <v>1.3798827262167107E-2</v>
      </c>
      <c r="P18" s="22">
        <f t="shared" si="19"/>
        <v>42.019204092153117</v>
      </c>
      <c r="Q18" s="102">
        <f t="shared" si="20"/>
        <v>15.064586337231976</v>
      </c>
      <c r="R18" s="106">
        <f t="shared" si="21"/>
        <v>6.6380846948881023E-2</v>
      </c>
      <c r="S18" s="32">
        <f t="shared" si="22"/>
        <v>36.93696485693448</v>
      </c>
      <c r="T18" s="24">
        <f t="shared" si="23"/>
        <v>550.28916000000004</v>
      </c>
      <c r="U18" s="66">
        <f t="shared" si="24"/>
        <v>531.80074000000002</v>
      </c>
      <c r="W18" s="1202">
        <f t="shared" si="25"/>
        <v>0.3905423320970573</v>
      </c>
      <c r="X18" s="21">
        <f t="shared" si="26"/>
        <v>1.812064472614006E-2</v>
      </c>
      <c r="Y18" s="23">
        <f t="shared" si="27"/>
        <v>0.71257573499802951</v>
      </c>
      <c r="Z18" s="21">
        <f t="shared" si="28"/>
        <v>1.4549176524732306</v>
      </c>
      <c r="AA18" s="21">
        <f t="shared" si="29"/>
        <v>0.61128508039882368</v>
      </c>
      <c r="AB18" s="21">
        <f t="shared" si="30"/>
        <v>-1.2060102135370001</v>
      </c>
      <c r="AC18" s="70">
        <f t="shared" si="31"/>
        <v>3.3876383863494397E-2</v>
      </c>
      <c r="AF18" s="1168">
        <f t="shared" si="32"/>
        <v>55</v>
      </c>
      <c r="AG18" s="19">
        <f t="shared" si="33"/>
        <v>15</v>
      </c>
      <c r="AH18" s="1188">
        <f t="shared" si="34"/>
        <v>98</v>
      </c>
      <c r="AI18" s="19">
        <f t="shared" si="35"/>
        <v>1739</v>
      </c>
      <c r="AJ18" s="1100">
        <f t="shared" si="36"/>
        <v>530.04719999999998</v>
      </c>
      <c r="AK18" s="1146">
        <f t="shared" si="37"/>
        <v>1</v>
      </c>
      <c r="AL18" s="97">
        <f t="shared" si="38"/>
        <v>1239</v>
      </c>
      <c r="AM18" s="75">
        <f t="shared" si="39"/>
        <v>-2.1761662972317651E-2</v>
      </c>
      <c r="AN18" s="75">
        <f t="shared" si="40"/>
        <v>9.3894642126680222E-4</v>
      </c>
      <c r="AO18" s="75">
        <f t="shared" si="41"/>
        <v>-2.0822716551050849E-2</v>
      </c>
      <c r="AP18" s="75">
        <f t="shared" si="46"/>
        <v>-1.0822716551050849E-2</v>
      </c>
      <c r="AQ18" s="12">
        <f t="shared" si="47"/>
        <v>1006.2158300277629</v>
      </c>
      <c r="AR18" s="13" t="str">
        <f t="shared" si="42"/>
        <v>Exfl</v>
      </c>
      <c r="AS18" s="12">
        <f t="shared" si="43"/>
        <v>1006.2158300277629</v>
      </c>
      <c r="AT18" s="98">
        <f t="shared" si="48"/>
        <v>0.21156798884681777</v>
      </c>
      <c r="AU18" s="12">
        <f t="shared" si="44"/>
        <v>16940.944334342457</v>
      </c>
      <c r="AV18" s="1047">
        <f t="shared" si="45"/>
        <v>3260.1392892899521</v>
      </c>
    </row>
    <row r="19" spans="2:48" ht="21" customHeight="1">
      <c r="B19" s="1168">
        <f>'Input-Output'!BK14</f>
        <v>54</v>
      </c>
      <c r="C19" s="19">
        <f>'Input-Output'!BL14</f>
        <v>13</v>
      </c>
      <c r="D19" s="1188">
        <f>'Input-Output'!BM14</f>
        <v>96</v>
      </c>
      <c r="E19" s="19">
        <f>'Input-Output'!BN14</f>
        <v>1719</v>
      </c>
      <c r="F19" s="19">
        <f>'Input-Output'!BO14</f>
        <v>523.95119999999997</v>
      </c>
      <c r="G19" s="20">
        <f t="shared" si="10"/>
        <v>95.18741333318691</v>
      </c>
      <c r="H19" s="20">
        <f t="shared" si="11"/>
        <v>28.185472297356597</v>
      </c>
      <c r="I19" s="20">
        <f t="shared" si="12"/>
        <v>382.51688132446628</v>
      </c>
      <c r="J19" s="20">
        <f t="shared" si="13"/>
        <v>13.805761670194007</v>
      </c>
      <c r="K19" s="20">
        <f t="shared" si="14"/>
        <v>14.312452253628724</v>
      </c>
      <c r="L19" s="27">
        <f t="shared" si="15"/>
        <v>90.660359999999997</v>
      </c>
      <c r="M19" s="17">
        <f t="shared" si="16"/>
        <v>72.147540000000006</v>
      </c>
      <c r="N19" s="22">
        <f t="shared" si="17"/>
        <v>63.565606563521847</v>
      </c>
      <c r="O19" s="23">
        <f t="shared" si="18"/>
        <v>1.3808812023822541E-2</v>
      </c>
      <c r="P19" s="22">
        <f t="shared" si="19"/>
        <v>41.986096094510714</v>
      </c>
      <c r="Q19" s="102">
        <f t="shared" si="20"/>
        <v>15.055756491171845</v>
      </c>
      <c r="R19" s="106">
        <f t="shared" si="21"/>
        <v>6.6419777749883516E-2</v>
      </c>
      <c r="S19" s="32">
        <f t="shared" si="22"/>
        <v>36.965484827223641</v>
      </c>
      <c r="T19" s="24">
        <f t="shared" si="23"/>
        <v>550.36036000000001</v>
      </c>
      <c r="U19" s="66">
        <f t="shared" si="24"/>
        <v>531.84753999999998</v>
      </c>
      <c r="W19" s="1202">
        <f t="shared" si="25"/>
        <v>0.39116073263919382</v>
      </c>
      <c r="X19" s="21">
        <f t="shared" si="26"/>
        <v>1.8136518083501998E-2</v>
      </c>
      <c r="Y19" s="23">
        <f t="shared" si="27"/>
        <v>0.71416458959939566</v>
      </c>
      <c r="Z19" s="21">
        <f t="shared" si="28"/>
        <v>1.4581617323558373</v>
      </c>
      <c r="AA19" s="21">
        <f t="shared" si="29"/>
        <v>0.61216536276871691</v>
      </c>
      <c r="AB19" s="21">
        <f t="shared" si="30"/>
        <v>-1.2045711973075905</v>
      </c>
      <c r="AC19" s="70">
        <f t="shared" si="31"/>
        <v>3.3929862697764678E-2</v>
      </c>
      <c r="AF19" s="1168">
        <f t="shared" si="32"/>
        <v>54</v>
      </c>
      <c r="AG19" s="19">
        <f t="shared" si="33"/>
        <v>13</v>
      </c>
      <c r="AH19" s="1188">
        <f t="shared" si="34"/>
        <v>96</v>
      </c>
      <c r="AI19" s="19">
        <f t="shared" si="35"/>
        <v>1719</v>
      </c>
      <c r="AJ19" s="1100">
        <f t="shared" si="36"/>
        <v>523.95119999999997</v>
      </c>
      <c r="AK19" s="1146">
        <f t="shared" si="37"/>
        <v>1</v>
      </c>
      <c r="AL19" s="97">
        <f t="shared" si="38"/>
        <v>1219</v>
      </c>
      <c r="AM19" s="75">
        <f t="shared" si="39"/>
        <v>-2.1125410974898312E-2</v>
      </c>
      <c r="AN19" s="75">
        <f t="shared" si="40"/>
        <v>9.1975512350761751E-4</v>
      </c>
      <c r="AO19" s="75">
        <f t="shared" si="41"/>
        <v>-2.0205655851390694E-2</v>
      </c>
      <c r="AP19" s="75">
        <f t="shared" si="46"/>
        <v>-1.0205655851390693E-2</v>
      </c>
      <c r="AQ19" s="12">
        <f t="shared" si="47"/>
        <v>976.82361106606447</v>
      </c>
      <c r="AR19" s="13" t="str">
        <f t="shared" si="42"/>
        <v>Exfl</v>
      </c>
      <c r="AS19" s="12">
        <f t="shared" si="43"/>
        <v>976.82361106606447</v>
      </c>
      <c r="AT19" s="98">
        <f t="shared" si="48"/>
        <v>0.20538795026274953</v>
      </c>
      <c r="AU19" s="12">
        <f t="shared" si="44"/>
        <v>16521.202158258115</v>
      </c>
      <c r="AV19" s="1047">
        <f t="shared" si="45"/>
        <v>3164.9084998540493</v>
      </c>
    </row>
    <row r="20" spans="2:48" ht="21" customHeight="1">
      <c r="B20" s="1168">
        <f>'Input-Output'!BK15</f>
        <v>53</v>
      </c>
      <c r="C20" s="19">
        <f>'Input-Output'!BL15</f>
        <v>11</v>
      </c>
      <c r="D20" s="1188">
        <f>'Input-Output'!BM15</f>
        <v>94</v>
      </c>
      <c r="E20" s="19">
        <f>'Input-Output'!BN15</f>
        <v>1699</v>
      </c>
      <c r="F20" s="19">
        <f>'Input-Output'!BO15</f>
        <v>517.85520000000008</v>
      </c>
      <c r="G20" s="20">
        <f t="shared" si="10"/>
        <v>95.257047998219221</v>
      </c>
      <c r="H20" s="20">
        <f t="shared" si="11"/>
        <v>28.206091472239876</v>
      </c>
      <c r="I20" s="20">
        <f t="shared" si="12"/>
        <v>382.79671280604038</v>
      </c>
      <c r="J20" s="20">
        <f t="shared" si="13"/>
        <v>13.815861320512846</v>
      </c>
      <c r="K20" s="20">
        <f t="shared" si="14"/>
        <v>14.159663865546218</v>
      </c>
      <c r="L20" s="27">
        <f t="shared" si="15"/>
        <v>90.731560000000002</v>
      </c>
      <c r="M20" s="17">
        <f t="shared" si="16"/>
        <v>72.194339999999997</v>
      </c>
      <c r="N20" s="22">
        <f t="shared" si="17"/>
        <v>63.606547869521464</v>
      </c>
      <c r="O20" s="23">
        <f t="shared" si="18"/>
        <v>1.3818806518206035E-2</v>
      </c>
      <c r="P20" s="22">
        <f t="shared" si="19"/>
        <v>41.953044388862828</v>
      </c>
      <c r="Q20" s="102">
        <f t="shared" si="20"/>
        <v>15.04693332669865</v>
      </c>
      <c r="R20" s="106">
        <f t="shared" si="21"/>
        <v>6.6458724730682622E-2</v>
      </c>
      <c r="S20" s="32">
        <f t="shared" si="22"/>
        <v>36.994016147310944</v>
      </c>
      <c r="T20" s="24">
        <f t="shared" si="23"/>
        <v>550.43155999999999</v>
      </c>
      <c r="U20" s="66">
        <f t="shared" si="24"/>
        <v>531.89433999999994</v>
      </c>
      <c r="W20" s="1202">
        <f t="shared" si="25"/>
        <v>0.3917799887584259</v>
      </c>
      <c r="X20" s="21">
        <f t="shared" si="26"/>
        <v>1.8152401746222048E-2</v>
      </c>
      <c r="Y20" s="23">
        <f t="shared" si="27"/>
        <v>0.71575651786454386</v>
      </c>
      <c r="Z20" s="21">
        <f t="shared" si="28"/>
        <v>1.4614120879611143</v>
      </c>
      <c r="AA20" s="21">
        <f t="shared" si="29"/>
        <v>0.61304695242227214</v>
      </c>
      <c r="AB20" s="21">
        <f t="shared" si="30"/>
        <v>-1.2031321164319431</v>
      </c>
      <c r="AC20" s="70">
        <f t="shared" si="31"/>
        <v>3.3983410490837494E-2</v>
      </c>
      <c r="AF20" s="1168">
        <f t="shared" si="32"/>
        <v>53</v>
      </c>
      <c r="AG20" s="19">
        <f t="shared" si="33"/>
        <v>11</v>
      </c>
      <c r="AH20" s="1188">
        <f t="shared" si="34"/>
        <v>94</v>
      </c>
      <c r="AI20" s="19">
        <f t="shared" si="35"/>
        <v>1699</v>
      </c>
      <c r="AJ20" s="1100">
        <f t="shared" si="36"/>
        <v>517.85520000000008</v>
      </c>
      <c r="AK20" s="1146">
        <f t="shared" si="37"/>
        <v>1</v>
      </c>
      <c r="AL20" s="97">
        <f t="shared" si="38"/>
        <v>1199</v>
      </c>
      <c r="AM20" s="75">
        <f t="shared" si="39"/>
        <v>-2.0481593352914992E-2</v>
      </c>
      <c r="AN20" s="75">
        <f t="shared" si="40"/>
        <v>9.0075065575218798E-4</v>
      </c>
      <c r="AO20" s="75">
        <f t="shared" si="41"/>
        <v>-1.9580842697162804E-2</v>
      </c>
      <c r="AP20" s="75">
        <f t="shared" si="46"/>
        <v>-9.5808426971628041E-3</v>
      </c>
      <c r="AQ20" s="12">
        <f t="shared" si="47"/>
        <v>946.172346948155</v>
      </c>
      <c r="AR20" s="13" t="str">
        <f t="shared" si="42"/>
        <v>Exfl</v>
      </c>
      <c r="AS20" s="12">
        <f t="shared" si="43"/>
        <v>946.172346948155</v>
      </c>
      <c r="AT20" s="98">
        <f t="shared" si="48"/>
        <v>0.198943183532276</v>
      </c>
      <c r="AU20" s="12">
        <f t="shared" si="44"/>
        <v>16075.548410064177</v>
      </c>
      <c r="AV20" s="1047">
        <f t="shared" si="45"/>
        <v>3065.5984041120223</v>
      </c>
    </row>
    <row r="21" spans="2:48" ht="21" customHeight="1">
      <c r="B21" s="1168">
        <f>'Input-Output'!BK16</f>
        <v>52</v>
      </c>
      <c r="C21" s="19">
        <f>'Input-Output'!BL16</f>
        <v>9</v>
      </c>
      <c r="D21" s="1188">
        <f>'Input-Output'!BM16</f>
        <v>92</v>
      </c>
      <c r="E21" s="19">
        <f>'Input-Output'!BN16</f>
        <v>1679</v>
      </c>
      <c r="F21" s="19">
        <f>'Input-Output'!BO16</f>
        <v>511.75920000000002</v>
      </c>
      <c r="G21" s="20">
        <f t="shared" si="10"/>
        <v>95.326723905996872</v>
      </c>
      <c r="H21" s="20">
        <f t="shared" si="11"/>
        <v>28.226722859307682</v>
      </c>
      <c r="I21" s="20">
        <f t="shared" si="12"/>
        <v>383.07671002429936</v>
      </c>
      <c r="J21" s="20">
        <f t="shared" si="13"/>
        <v>13.825966952583817</v>
      </c>
      <c r="K21" s="20">
        <f t="shared" si="14"/>
        <v>14.006875477463712</v>
      </c>
      <c r="L21" s="27">
        <f t="shared" si="15"/>
        <v>90.802760000000006</v>
      </c>
      <c r="M21" s="17">
        <f t="shared" si="16"/>
        <v>72.241140000000001</v>
      </c>
      <c r="N21" s="22">
        <f t="shared" si="17"/>
        <v>63.647498662296599</v>
      </c>
      <c r="O21" s="23">
        <f t="shared" si="18"/>
        <v>1.3828810748836682E-2</v>
      </c>
      <c r="P21" s="22">
        <f t="shared" si="19"/>
        <v>41.920048851328154</v>
      </c>
      <c r="Q21" s="102">
        <f t="shared" si="20"/>
        <v>15.038116837842715</v>
      </c>
      <c r="R21" s="106">
        <f t="shared" si="21"/>
        <v>6.649768789424132E-2</v>
      </c>
      <c r="S21" s="32">
        <f t="shared" si="22"/>
        <v>37.022558821995069</v>
      </c>
      <c r="T21" s="24">
        <f t="shared" si="23"/>
        <v>550.50275999999997</v>
      </c>
      <c r="U21" s="66">
        <f t="shared" si="24"/>
        <v>531.94114000000002</v>
      </c>
      <c r="W21" s="1202">
        <f t="shared" si="25"/>
        <v>0.39240010145249821</v>
      </c>
      <c r="X21" s="21">
        <f t="shared" si="26"/>
        <v>1.8168295718189745E-2</v>
      </c>
      <c r="Y21" s="23">
        <f t="shared" si="27"/>
        <v>0.71735152474932484</v>
      </c>
      <c r="Z21" s="21">
        <f t="shared" si="28"/>
        <v>1.4646687294077818</v>
      </c>
      <c r="AA21" s="21">
        <f t="shared" si="29"/>
        <v>0.61392985105301534</v>
      </c>
      <c r="AB21" s="21">
        <f t="shared" si="30"/>
        <v>-1.2016929714038933</v>
      </c>
      <c r="AC21" s="70">
        <f t="shared" si="31"/>
        <v>3.4037027313821543E-2</v>
      </c>
      <c r="AF21" s="1168">
        <f t="shared" si="32"/>
        <v>52</v>
      </c>
      <c r="AG21" s="19">
        <f t="shared" si="33"/>
        <v>9</v>
      </c>
      <c r="AH21" s="1188">
        <f t="shared" si="34"/>
        <v>92</v>
      </c>
      <c r="AI21" s="19">
        <f t="shared" si="35"/>
        <v>1679</v>
      </c>
      <c r="AJ21" s="1100">
        <f t="shared" si="36"/>
        <v>511.75920000000002</v>
      </c>
      <c r="AK21" s="1146">
        <f t="shared" si="37"/>
        <v>1</v>
      </c>
      <c r="AL21" s="97">
        <f t="shared" si="38"/>
        <v>1179</v>
      </c>
      <c r="AM21" s="75">
        <f t="shared" si="39"/>
        <v>-1.9830197655693077E-2</v>
      </c>
      <c r="AN21" s="75">
        <f t="shared" si="40"/>
        <v>8.8193337253296455E-4</v>
      </c>
      <c r="AO21" s="75">
        <f t="shared" si="41"/>
        <v>-1.8948264283160113E-2</v>
      </c>
      <c r="AP21" s="75">
        <f t="shared" si="46"/>
        <v>-8.9482642831601126E-3</v>
      </c>
      <c r="AQ21" s="12">
        <f t="shared" si="47"/>
        <v>914.13539803952176</v>
      </c>
      <c r="AR21" s="13" t="str">
        <f t="shared" si="42"/>
        <v>Exfl</v>
      </c>
      <c r="AS21" s="12">
        <f t="shared" si="43"/>
        <v>914.13539803952176</v>
      </c>
      <c r="AT21" s="98">
        <f t="shared" si="48"/>
        <v>0.19220706127389256</v>
      </c>
      <c r="AU21" s="12">
        <f t="shared" si="44"/>
        <v>15601.531286940883</v>
      </c>
      <c r="AV21" s="1047">
        <f t="shared" si="45"/>
        <v>2961.7986896480506</v>
      </c>
    </row>
    <row r="22" spans="2:48" ht="21" customHeight="1">
      <c r="B22" s="1168">
        <f>'Input-Output'!BK17</f>
        <v>51</v>
      </c>
      <c r="C22" s="19">
        <f>'Input-Output'!BL17</f>
        <v>7</v>
      </c>
      <c r="D22" s="1188">
        <f>'Input-Output'!BM17</f>
        <v>90</v>
      </c>
      <c r="E22" s="19">
        <f>'Input-Output'!BN17</f>
        <v>1659</v>
      </c>
      <c r="F22" s="19">
        <f>'Input-Output'!BO17</f>
        <v>505.66320000000002</v>
      </c>
      <c r="G22" s="20">
        <f t="shared" si="10"/>
        <v>95.396441075204208</v>
      </c>
      <c r="H22" s="20">
        <f t="shared" si="11"/>
        <v>28.247366464092543</v>
      </c>
      <c r="I22" s="20">
        <f t="shared" si="12"/>
        <v>383.35687305432742</v>
      </c>
      <c r="J22" s="20">
        <f t="shared" si="13"/>
        <v>13.836078569116856</v>
      </c>
      <c r="K22" s="20">
        <f t="shared" si="14"/>
        <v>13.854087089381206</v>
      </c>
      <c r="L22" s="27">
        <f t="shared" si="15"/>
        <v>90.873959999999997</v>
      </c>
      <c r="M22" s="17">
        <f t="shared" si="16"/>
        <v>72.287940000000006</v>
      </c>
      <c r="N22" s="22">
        <f t="shared" si="17"/>
        <v>63.688458934520028</v>
      </c>
      <c r="O22" s="23">
        <f t="shared" si="18"/>
        <v>1.3838824719234193E-2</v>
      </c>
      <c r="P22" s="22">
        <f t="shared" si="19"/>
        <v>41.887109358350237</v>
      </c>
      <c r="Q22" s="102">
        <f t="shared" si="20"/>
        <v>15.029307018640521</v>
      </c>
      <c r="R22" s="106">
        <f t="shared" si="21"/>
        <v>6.6536667243521058E-2</v>
      </c>
      <c r="S22" s="32">
        <f t="shared" si="22"/>
        <v>37.051112856075797</v>
      </c>
      <c r="T22" s="24">
        <f t="shared" si="23"/>
        <v>550.57395999999994</v>
      </c>
      <c r="U22" s="66">
        <f t="shared" si="24"/>
        <v>531.98793999999998</v>
      </c>
      <c r="W22" s="1202">
        <f t="shared" si="25"/>
        <v>0.39302107172009221</v>
      </c>
      <c r="X22" s="21">
        <f t="shared" si="26"/>
        <v>1.8184200003295434E-2</v>
      </c>
      <c r="Y22" s="23">
        <f t="shared" si="27"/>
        <v>0.7189496152157645</v>
      </c>
      <c r="Z22" s="21">
        <f t="shared" si="28"/>
        <v>1.4679316668271689</v>
      </c>
      <c r="AA22" s="21">
        <f t="shared" si="29"/>
        <v>0.614814060356218</v>
      </c>
      <c r="AB22" s="21">
        <f t="shared" si="30"/>
        <v>-1.2002537627166869</v>
      </c>
      <c r="AC22" s="70">
        <f t="shared" si="31"/>
        <v>3.4090713237892672E-2</v>
      </c>
      <c r="AF22" s="1168">
        <f t="shared" si="32"/>
        <v>51</v>
      </c>
      <c r="AG22" s="19">
        <f t="shared" si="33"/>
        <v>7</v>
      </c>
      <c r="AH22" s="1188">
        <f t="shared" si="34"/>
        <v>90</v>
      </c>
      <c r="AI22" s="19">
        <f t="shared" si="35"/>
        <v>1659</v>
      </c>
      <c r="AJ22" s="1100">
        <f t="shared" si="36"/>
        <v>505.66320000000002</v>
      </c>
      <c r="AK22" s="1146">
        <f t="shared" si="37"/>
        <v>1</v>
      </c>
      <c r="AL22" s="97">
        <f t="shared" si="38"/>
        <v>1159</v>
      </c>
      <c r="AM22" s="75">
        <f t="shared" si="39"/>
        <v>-1.9171211422490741E-2</v>
      </c>
      <c r="AN22" s="75">
        <f t="shared" si="40"/>
        <v>8.6330362868536272E-4</v>
      </c>
      <c r="AO22" s="75">
        <f t="shared" si="41"/>
        <v>-1.8307907793805377E-2</v>
      </c>
      <c r="AP22" s="75">
        <f t="shared" si="46"/>
        <v>-8.3079077938053771E-3</v>
      </c>
      <c r="AQ22" s="12">
        <f t="shared" si="47"/>
        <v>880.56153388900862</v>
      </c>
      <c r="AR22" s="13" t="str">
        <f t="shared" si="42"/>
        <v>Exfl</v>
      </c>
      <c r="AS22" s="12">
        <f t="shared" si="43"/>
        <v>880.56153388900862</v>
      </c>
      <c r="AT22" s="98">
        <f t="shared" si="48"/>
        <v>0.18514778561536474</v>
      </c>
      <c r="AU22" s="12">
        <f t="shared" si="44"/>
        <v>15096.238451812187</v>
      </c>
      <c r="AV22" s="1047">
        <f t="shared" si="45"/>
        <v>2853.0193698003877</v>
      </c>
    </row>
    <row r="23" spans="2:48" ht="21" customHeight="1">
      <c r="B23" s="1168">
        <f>'Input-Output'!BK18</f>
        <v>50</v>
      </c>
      <c r="C23" s="19">
        <f>'Input-Output'!BL18</f>
        <v>5</v>
      </c>
      <c r="D23" s="1188">
        <f>'Input-Output'!BM18</f>
        <v>88</v>
      </c>
      <c r="E23" s="19">
        <f>'Input-Output'!BN18</f>
        <v>1639</v>
      </c>
      <c r="F23" s="19">
        <f>'Input-Output'!BO18</f>
        <v>499.56720000000001</v>
      </c>
      <c r="G23" s="20">
        <f t="shared" si="10"/>
        <v>95.466199524531262</v>
      </c>
      <c r="H23" s="20">
        <f t="shared" si="11"/>
        <v>28.26802229212867</v>
      </c>
      <c r="I23" s="20">
        <f t="shared" si="12"/>
        <v>383.63720197123172</v>
      </c>
      <c r="J23" s="20">
        <f t="shared" si="13"/>
        <v>13.846196172822722</v>
      </c>
      <c r="K23" s="20">
        <f t="shared" si="14"/>
        <v>13.7012987012987</v>
      </c>
      <c r="L23" s="27">
        <f t="shared" si="15"/>
        <v>90.945160000000001</v>
      </c>
      <c r="M23" s="17">
        <f t="shared" si="16"/>
        <v>72.334739999999996</v>
      </c>
      <c r="N23" s="22">
        <f t="shared" si="17"/>
        <v>63.729428678881838</v>
      </c>
      <c r="O23" s="23">
        <f t="shared" si="18"/>
        <v>1.3848848432917985E-2</v>
      </c>
      <c r="P23" s="22">
        <f t="shared" si="19"/>
        <v>41.854225786694236</v>
      </c>
      <c r="Q23" s="102">
        <f t="shared" si="20"/>
        <v>15.020503863134719</v>
      </c>
      <c r="R23" s="106">
        <f t="shared" si="21"/>
        <v>6.6575662781481693E-2</v>
      </c>
      <c r="S23" s="32">
        <f t="shared" si="22"/>
        <v>37.079678254353063</v>
      </c>
      <c r="T23" s="24">
        <f t="shared" si="23"/>
        <v>550.64516000000003</v>
      </c>
      <c r="U23" s="66">
        <f t="shared" si="24"/>
        <v>532.03473999999994</v>
      </c>
      <c r="W23" s="1202">
        <f t="shared" si="25"/>
        <v>0.39364290056080697</v>
      </c>
      <c r="X23" s="21">
        <f t="shared" si="26"/>
        <v>1.8200114605429366E-2</v>
      </c>
      <c r="Y23" s="23">
        <f t="shared" si="27"/>
        <v>0.72055079423205926</v>
      </c>
      <c r="Z23" s="21">
        <f t="shared" si="28"/>
        <v>1.4712009103632029</v>
      </c>
      <c r="AA23" s="21">
        <f t="shared" si="29"/>
        <v>0.61569958202885655</v>
      </c>
      <c r="AB23" s="21">
        <f t="shared" si="30"/>
        <v>-1.1988144908630474</v>
      </c>
      <c r="AC23" s="70">
        <f t="shared" si="31"/>
        <v>3.4144468334293618E-2</v>
      </c>
      <c r="AF23" s="1168">
        <f t="shared" si="32"/>
        <v>50</v>
      </c>
      <c r="AG23" s="19">
        <f t="shared" si="33"/>
        <v>5</v>
      </c>
      <c r="AH23" s="1188">
        <f t="shared" si="34"/>
        <v>88</v>
      </c>
      <c r="AI23" s="19">
        <f t="shared" si="35"/>
        <v>1639</v>
      </c>
      <c r="AJ23" s="1100">
        <f t="shared" si="36"/>
        <v>499.56720000000001</v>
      </c>
      <c r="AK23" s="1146">
        <f t="shared" si="37"/>
        <v>1</v>
      </c>
      <c r="AL23" s="97">
        <f t="shared" si="38"/>
        <v>1139</v>
      </c>
      <c r="AM23" s="75">
        <f t="shared" si="39"/>
        <v>-1.8504622182496086E-2</v>
      </c>
      <c r="AN23" s="75">
        <f t="shared" si="40"/>
        <v>8.4486177934785733E-4</v>
      </c>
      <c r="AO23" s="75">
        <f t="shared" si="41"/>
        <v>-1.765976040314823E-2</v>
      </c>
      <c r="AP23" s="75">
        <f t="shared" si="46"/>
        <v>-7.6597604031482299E-3</v>
      </c>
      <c r="AQ23" s="12">
        <f t="shared" si="47"/>
        <v>845.26763663801034</v>
      </c>
      <c r="AR23" s="13" t="str">
        <f t="shared" si="42"/>
        <v>Exfl</v>
      </c>
      <c r="AS23" s="12">
        <f t="shared" si="43"/>
        <v>845.26763663801034</v>
      </c>
      <c r="AT23" s="98">
        <f t="shared" si="48"/>
        <v>0.17772685400494284</v>
      </c>
      <c r="AU23" s="12">
        <f t="shared" si="44"/>
        <v>14556.161925736134</v>
      </c>
      <c r="AV23" s="1047">
        <f t="shared" si="45"/>
        <v>2738.6671427071537</v>
      </c>
    </row>
    <row r="24" spans="2:48" ht="21" customHeight="1">
      <c r="B24" s="1168">
        <f>'Input-Output'!BK19</f>
        <v>49</v>
      </c>
      <c r="C24" s="19">
        <f>'Input-Output'!BL19</f>
        <v>3</v>
      </c>
      <c r="D24" s="1188">
        <f>'Input-Output'!BM19</f>
        <v>86</v>
      </c>
      <c r="E24" s="19">
        <f>'Input-Output'!BN19</f>
        <v>1619</v>
      </c>
      <c r="F24" s="19">
        <f>'Input-Output'!BO19</f>
        <v>493.47120000000001</v>
      </c>
      <c r="G24" s="20">
        <f t="shared" si="10"/>
        <v>95.535999272674076</v>
      </c>
      <c r="H24" s="20">
        <f t="shared" si="11"/>
        <v>28.288690348952059</v>
      </c>
      <c r="I24" s="20">
        <f t="shared" si="12"/>
        <v>383.91769685014356</v>
      </c>
      <c r="J24" s="20">
        <f t="shared" si="13"/>
        <v>13.856319766413044</v>
      </c>
      <c r="K24" s="20">
        <f t="shared" si="14"/>
        <v>13.548510313216196</v>
      </c>
      <c r="L24" s="27">
        <f t="shared" si="15"/>
        <v>91.016360000000006</v>
      </c>
      <c r="M24" s="17">
        <f t="shared" si="16"/>
        <v>72.381540000000001</v>
      </c>
      <c r="N24" s="22">
        <f t="shared" si="17"/>
        <v>63.770407888089842</v>
      </c>
      <c r="O24" s="23">
        <f t="shared" si="18"/>
        <v>1.3858881893407329E-2</v>
      </c>
      <c r="P24" s="22">
        <f t="shared" si="19"/>
        <v>41.821398013445808</v>
      </c>
      <c r="Q24" s="102">
        <f t="shared" si="20"/>
        <v>15.01170736537404</v>
      </c>
      <c r="R24" s="106">
        <f t="shared" si="21"/>
        <v>6.6614674511081731E-2</v>
      </c>
      <c r="S24" s="32">
        <f t="shared" si="22"/>
        <v>37.108255021627059</v>
      </c>
      <c r="T24" s="24">
        <f t="shared" si="23"/>
        <v>550.71636000000001</v>
      </c>
      <c r="U24" s="66">
        <f t="shared" si="24"/>
        <v>532.08154000000002</v>
      </c>
      <c r="W24" s="1202">
        <f t="shared" si="25"/>
        <v>0.39426558897516306</v>
      </c>
      <c r="X24" s="21">
        <f t="shared" si="26"/>
        <v>1.8216039528481793E-2</v>
      </c>
      <c r="Y24" s="23">
        <f t="shared" si="27"/>
        <v>0.722155066772595</v>
      </c>
      <c r="Z24" s="21">
        <f t="shared" si="28"/>
        <v>1.4744764701724489</v>
      </c>
      <c r="AA24" s="21">
        <f t="shared" si="29"/>
        <v>0.61658641776962286</v>
      </c>
      <c r="AB24" s="21">
        <f t="shared" si="30"/>
        <v>-1.197375156335162</v>
      </c>
      <c r="AC24" s="70">
        <f t="shared" si="31"/>
        <v>3.4198292674334642E-2</v>
      </c>
      <c r="AF24" s="1168">
        <f t="shared" si="32"/>
        <v>49</v>
      </c>
      <c r="AG24" s="19">
        <f t="shared" si="33"/>
        <v>3</v>
      </c>
      <c r="AH24" s="1188">
        <f t="shared" si="34"/>
        <v>86</v>
      </c>
      <c r="AI24" s="19">
        <f t="shared" si="35"/>
        <v>1619</v>
      </c>
      <c r="AJ24" s="1100">
        <f t="shared" si="36"/>
        <v>493.47120000000001</v>
      </c>
      <c r="AK24" s="1146">
        <f t="shared" si="37"/>
        <v>1</v>
      </c>
      <c r="AL24" s="97">
        <f t="shared" si="38"/>
        <v>1119</v>
      </c>
      <c r="AM24" s="75">
        <f t="shared" si="39"/>
        <v>-1.7830417454823735E-2</v>
      </c>
      <c r="AN24" s="75">
        <f t="shared" si="40"/>
        <v>8.2660817996208196E-4</v>
      </c>
      <c r="AO24" s="75">
        <f t="shared" si="41"/>
        <v>-1.7003809274861652E-2</v>
      </c>
      <c r="AP24" s="75">
        <f t="shared" si="46"/>
        <v>-7.0038092748616523E-3</v>
      </c>
      <c r="AQ24" s="12">
        <f t="shared" si="47"/>
        <v>808.02834979123816</v>
      </c>
      <c r="AR24" s="13" t="str">
        <f t="shared" si="42"/>
        <v>Exfl</v>
      </c>
      <c r="AS24" s="12">
        <f t="shared" si="43"/>
        <v>808.02834979123816</v>
      </c>
      <c r="AT24" s="98">
        <f t="shared" si="48"/>
        <v>0.16989688275111753</v>
      </c>
      <c r="AU24" s="12">
        <f t="shared" si="44"/>
        <v>13977.006775699392</v>
      </c>
      <c r="AV24" s="1047">
        <f t="shared" si="45"/>
        <v>2618.0118533236118</v>
      </c>
    </row>
    <row r="25" spans="2:48" ht="21" customHeight="1">
      <c r="B25" s="1168">
        <f>'Input-Output'!BK20</f>
        <v>48</v>
      </c>
      <c r="C25" s="19">
        <f>'Input-Output'!BL20</f>
        <v>2</v>
      </c>
      <c r="D25" s="1188">
        <f>'Input-Output'!BM20</f>
        <v>85</v>
      </c>
      <c r="E25" s="19">
        <f>'Input-Output'!BN20</f>
        <v>1609</v>
      </c>
      <c r="F25" s="19">
        <f>'Input-Output'!BO20</f>
        <v>490.42320000000001</v>
      </c>
      <c r="G25" s="20">
        <f t="shared" si="10"/>
        <v>95.570914639645565</v>
      </c>
      <c r="H25" s="20">
        <f t="shared" si="11"/>
        <v>28.299028964889466</v>
      </c>
      <c r="I25" s="20">
        <f t="shared" si="12"/>
        <v>384.05800654883745</v>
      </c>
      <c r="J25" s="20">
        <f t="shared" si="13"/>
        <v>13.861383810262502</v>
      </c>
      <c r="K25" s="20">
        <f t="shared" si="14"/>
        <v>13.472116119174943</v>
      </c>
      <c r="L25" s="27">
        <f t="shared" si="15"/>
        <v>91.051959999999994</v>
      </c>
      <c r="M25" s="17">
        <f t="shared" si="16"/>
        <v>72.404939999999996</v>
      </c>
      <c r="N25" s="22">
        <f t="shared" si="17"/>
        <v>63.790901039736966</v>
      </c>
      <c r="O25" s="23">
        <f t="shared" si="18"/>
        <v>1.3863902279803665E-2</v>
      </c>
      <c r="P25" s="22">
        <f t="shared" si="19"/>
        <v>41.805005012900217</v>
      </c>
      <c r="Q25" s="102">
        <f t="shared" si="20"/>
        <v>15.007311611290012</v>
      </c>
      <c r="R25" s="106">
        <f t="shared" si="21"/>
        <v>6.6634186448670737E-2</v>
      </c>
      <c r="S25" s="32">
        <f t="shared" si="22"/>
        <v>37.122547670137806</v>
      </c>
      <c r="T25" s="24">
        <f t="shared" si="23"/>
        <v>550.75195999999994</v>
      </c>
      <c r="U25" s="66">
        <f t="shared" si="24"/>
        <v>532.10493999999994</v>
      </c>
      <c r="W25" s="1202">
        <f t="shared" si="25"/>
        <v>0.39457725583536879</v>
      </c>
      <c r="X25" s="21">
        <f t="shared" si="26"/>
        <v>1.8224005861568016E-2</v>
      </c>
      <c r="Y25" s="23">
        <f t="shared" si="27"/>
        <v>0.72295836467065</v>
      </c>
      <c r="Z25" s="21">
        <f t="shared" si="28"/>
        <v>1.4761166218569264</v>
      </c>
      <c r="AA25" s="21">
        <f t="shared" si="29"/>
        <v>0.61703032894685783</v>
      </c>
      <c r="AB25" s="21">
        <f t="shared" si="30"/>
        <v>-1.1966554657220489</v>
      </c>
      <c r="AC25" s="70">
        <f t="shared" si="31"/>
        <v>3.4225230833023507E-2</v>
      </c>
      <c r="AF25" s="1168">
        <f t="shared" si="32"/>
        <v>48</v>
      </c>
      <c r="AG25" s="19">
        <f t="shared" si="33"/>
        <v>2</v>
      </c>
      <c r="AH25" s="1188">
        <f t="shared" si="34"/>
        <v>85</v>
      </c>
      <c r="AI25" s="19">
        <f t="shared" si="35"/>
        <v>1609</v>
      </c>
      <c r="AJ25" s="1100">
        <f t="shared" si="36"/>
        <v>490.42320000000001</v>
      </c>
      <c r="AK25" s="1146">
        <f t="shared" si="37"/>
        <v>1</v>
      </c>
      <c r="AL25" s="97">
        <f t="shared" si="38"/>
        <v>1109</v>
      </c>
      <c r="AM25" s="75">
        <f t="shared" si="39"/>
        <v>-1.7490455380076743E-2</v>
      </c>
      <c r="AN25" s="75">
        <f t="shared" si="40"/>
        <v>8.1755208515952205E-4</v>
      </c>
      <c r="AO25" s="75">
        <f t="shared" si="41"/>
        <v>-1.6672903294917222E-2</v>
      </c>
      <c r="AP25" s="75">
        <f t="shared" si="46"/>
        <v>-6.6729032949172217E-3</v>
      </c>
      <c r="AQ25" s="12">
        <f t="shared" si="47"/>
        <v>788.59362802849785</v>
      </c>
      <c r="AR25" s="13" t="str">
        <f t="shared" si="42"/>
        <v>Exfl</v>
      </c>
      <c r="AS25" s="12">
        <f t="shared" si="43"/>
        <v>788.59362802849785</v>
      </c>
      <c r="AT25" s="98">
        <f t="shared" si="48"/>
        <v>0.16581051790330253</v>
      </c>
      <c r="AU25" s="12">
        <f t="shared" si="44"/>
        <v>13671.151243237788</v>
      </c>
      <c r="AV25" s="1047">
        <f t="shared" si="45"/>
        <v>2555.0433548123328</v>
      </c>
    </row>
    <row r="26" spans="2:48" ht="21" customHeight="1" thickBot="1">
      <c r="B26" s="1168">
        <f>'Input-Output'!BK21</f>
        <v>47</v>
      </c>
      <c r="C26" s="19">
        <f>'Input-Output'!BL21</f>
        <v>1</v>
      </c>
      <c r="D26" s="1188">
        <f>'Input-Output'!BM21</f>
        <v>84</v>
      </c>
      <c r="E26" s="19">
        <f>'Input-Output'!BN21</f>
        <v>1599</v>
      </c>
      <c r="F26" s="19">
        <f>'Input-Output'!BO21</f>
        <v>487.37520000000001</v>
      </c>
      <c r="G26" s="20">
        <f t="shared" si="10"/>
        <v>95.605840338334602</v>
      </c>
      <c r="H26" s="20">
        <f t="shared" si="11"/>
        <v>28.309370640100454</v>
      </c>
      <c r="I26" s="20">
        <f t="shared" si="12"/>
        <v>384.1983577662179</v>
      </c>
      <c r="J26" s="20">
        <f t="shared" si="13"/>
        <v>13.866449352600313</v>
      </c>
      <c r="K26" s="20">
        <f t="shared" si="14"/>
        <v>13.395721925133691</v>
      </c>
      <c r="L26" s="27">
        <f t="shared" si="15"/>
        <v>91.087559999999996</v>
      </c>
      <c r="M26" s="17">
        <f t="shared" si="16"/>
        <v>72.428340000000006</v>
      </c>
      <c r="N26" s="22">
        <f t="shared" si="17"/>
        <v>63.811396554869035</v>
      </c>
      <c r="O26" s="23">
        <f t="shared" si="18"/>
        <v>1.3868925104221001E-2</v>
      </c>
      <c r="P26" s="22">
        <f t="shared" si="19"/>
        <v>41.788625916007788</v>
      </c>
      <c r="Q26" s="102">
        <f t="shared" si="20"/>
        <v>15.002917519413334</v>
      </c>
      <c r="R26" s="106">
        <f t="shared" si="21"/>
        <v>6.6653702435278295E-2</v>
      </c>
      <c r="S26" s="32">
        <f t="shared" si="22"/>
        <v>37.136843162697886</v>
      </c>
      <c r="T26" s="24">
        <f t="shared" si="23"/>
        <v>550.78755999999998</v>
      </c>
      <c r="U26" s="66">
        <f t="shared" si="24"/>
        <v>532.12833999999998</v>
      </c>
      <c r="W26" s="1202">
        <f t="shared" si="25"/>
        <v>0.39488913796459679</v>
      </c>
      <c r="X26" s="21">
        <f t="shared" si="26"/>
        <v>1.8231974776342676E-2</v>
      </c>
      <c r="Y26" s="23">
        <f t="shared" si="27"/>
        <v>0.72376243781797389</v>
      </c>
      <c r="Z26" s="21">
        <f t="shared" si="28"/>
        <v>1.4777583564241643</v>
      </c>
      <c r="AA26" s="21">
        <f t="shared" si="29"/>
        <v>0.61747456927890898</v>
      </c>
      <c r="AB26" s="21">
        <f t="shared" si="30"/>
        <v>-1.1959357596247056</v>
      </c>
      <c r="AC26" s="70">
        <f t="shared" si="31"/>
        <v>3.4252186329394786E-2</v>
      </c>
      <c r="AF26" s="1168">
        <f t="shared" si="32"/>
        <v>47</v>
      </c>
      <c r="AG26" s="19">
        <f t="shared" si="33"/>
        <v>1</v>
      </c>
      <c r="AH26" s="1188">
        <f t="shared" si="34"/>
        <v>84</v>
      </c>
      <c r="AI26" s="19">
        <f t="shared" si="35"/>
        <v>1599</v>
      </c>
      <c r="AJ26" s="1100">
        <f t="shared" si="36"/>
        <v>487.37520000000001</v>
      </c>
      <c r="AK26" s="1146">
        <f t="shared" si="37"/>
        <v>1</v>
      </c>
      <c r="AL26" s="97">
        <f t="shared" si="38"/>
        <v>1099</v>
      </c>
      <c r="AM26" s="75">
        <f t="shared" si="39"/>
        <v>-1.7148584748512666E-2</v>
      </c>
      <c r="AN26" s="75">
        <f t="shared" si="40"/>
        <v>8.0854318627292254E-4</v>
      </c>
      <c r="AO26" s="75">
        <f t="shared" si="41"/>
        <v>-1.6340041562239744E-2</v>
      </c>
      <c r="AP26" s="75">
        <f t="shared" si="46"/>
        <v>-6.3400415622397437E-3</v>
      </c>
      <c r="AQ26" s="12">
        <f t="shared" si="47"/>
        <v>768.56094416149028</v>
      </c>
      <c r="AR26" s="13" t="str">
        <f t="shared" si="42"/>
        <v>Exfl</v>
      </c>
      <c r="AS26" s="12">
        <f t="shared" si="43"/>
        <v>768.56094416149028</v>
      </c>
      <c r="AT26" s="98">
        <f t="shared" si="48"/>
        <v>0.16159842492039853</v>
      </c>
      <c r="AU26" s="12">
        <f t="shared" si="44"/>
        <v>13353.411927082992</v>
      </c>
      <c r="AV26" s="1047">
        <f t="shared" si="45"/>
        <v>2490.1374590832288</v>
      </c>
    </row>
    <row r="27" spans="2:48" ht="21" customHeight="1">
      <c r="B27" s="1177" t="str">
        <f>'Input-Output'!BK22</f>
        <v>Section &gt;&gt;</v>
      </c>
      <c r="C27" s="1079"/>
      <c r="D27" s="1080" t="str">
        <f>'Input-Output'!BM22</f>
        <v>6-Htl</v>
      </c>
      <c r="E27" s="1079" t="s">
        <v>873</v>
      </c>
      <c r="F27" s="1081">
        <f>'Input-Output'!BO22</f>
        <v>25</v>
      </c>
      <c r="G27" s="1082" t="s">
        <v>867</v>
      </c>
      <c r="H27" s="1083"/>
      <c r="I27" s="1081">
        <f>'Input-Output'!BG44</f>
        <v>250</v>
      </c>
      <c r="J27" s="1083" t="s">
        <v>874</v>
      </c>
      <c r="K27" s="1084">
        <f>'Input-Output'!BG46</f>
        <v>475.59927922569437</v>
      </c>
      <c r="L27" s="1073" t="s">
        <v>885</v>
      </c>
      <c r="M27" s="1085"/>
      <c r="N27" s="1086"/>
      <c r="O27" s="1081">
        <f>'Input-Output'!BG47</f>
        <v>4755.9927922569441</v>
      </c>
      <c r="P27" s="1087" t="s">
        <v>869</v>
      </c>
      <c r="Q27" s="1088"/>
      <c r="R27" s="1081">
        <f>'Input-Output'!BG45</f>
        <v>450000</v>
      </c>
      <c r="S27" s="1087" t="s">
        <v>868</v>
      </c>
      <c r="T27" s="1089"/>
      <c r="U27" s="1090">
        <f>'Input-Output'!BG50</f>
        <v>45</v>
      </c>
      <c r="W27" s="1111" t="s">
        <v>103</v>
      </c>
      <c r="X27" s="1112"/>
      <c r="Y27" s="1112"/>
      <c r="Z27" s="1113">
        <f>'Input-Output'!BG32</f>
        <v>0.01</v>
      </c>
      <c r="AA27" s="35" t="s">
        <v>102</v>
      </c>
      <c r="AB27" s="10"/>
      <c r="AC27" s="1057">
        <f>'Input-Output'!BG31</f>
        <v>0.65</v>
      </c>
      <c r="AF27" s="1166" t="str">
        <f>B27</f>
        <v>Section &gt;&gt;</v>
      </c>
      <c r="AG27" s="1104"/>
      <c r="AH27" s="1105" t="str">
        <f>D27</f>
        <v>6-Htl</v>
      </c>
      <c r="AI27" s="1104" t="str">
        <f>E27</f>
        <v>Flrs/S</v>
      </c>
      <c r="AJ27" s="1106">
        <f>F27</f>
        <v>25</v>
      </c>
      <c r="AK27" s="1207">
        <f>SUM(AK28:AK39)</f>
        <v>12</v>
      </c>
      <c r="AL27" s="1114" t="s">
        <v>112</v>
      </c>
      <c r="AM27" s="1115"/>
      <c r="AN27" s="1116">
        <f>'Input-Output'!BG55</f>
        <v>40.425938734184022</v>
      </c>
      <c r="AO27" s="1114" t="s">
        <v>882</v>
      </c>
      <c r="AP27" s="1117"/>
      <c r="AQ27" s="1118"/>
      <c r="AR27" s="1080">
        <f xml:space="preserve"> (SUM(AQ28:AQ39)/AK27) * AJ27</f>
        <v>11481.722519413153</v>
      </c>
      <c r="AS27" s="1114" t="s">
        <v>884</v>
      </c>
      <c r="AT27" s="1117"/>
      <c r="AU27" s="1118"/>
      <c r="AV27" s="1148">
        <f xml:space="preserve"> (SUM(AV28:AV39)/AK27) * AJ27</f>
        <v>26127.126878814601</v>
      </c>
    </row>
    <row r="28" spans="2:48" ht="21" customHeight="1">
      <c r="B28" s="1168">
        <f>'Input-Output'!BK23</f>
        <v>46</v>
      </c>
      <c r="C28" s="19">
        <f>'Input-Output'!BL23</f>
        <v>25</v>
      </c>
      <c r="D28" s="1188">
        <f>'Input-Output'!BM23</f>
        <v>83</v>
      </c>
      <c r="E28" s="19">
        <f>'Input-Output'!BN23</f>
        <v>1589</v>
      </c>
      <c r="F28" s="19">
        <f>'Input-Output'!BO23</f>
        <v>484.3272</v>
      </c>
      <c r="G28" s="20">
        <f t="shared" ref="G28:G40" si="49">IF(E28="XX","XX",((101325*(1-2.25577*(10^(-5))*F28)^5.2555)/1000))</f>
        <v>95.64077637107988</v>
      </c>
      <c r="H28" s="20">
        <f t="shared" ref="H28:H40" si="50" xml:space="preserve"> IF(E28="XX", "XX", G28*$AJ$5)</f>
        <v>28.319715375277518</v>
      </c>
      <c r="I28" s="20">
        <f t="shared" ref="I28:I40" si="51">IF(E28="XX", "XX", G28*$AL$5)</f>
        <v>384.33875051168309</v>
      </c>
      <c r="J28" s="20">
        <f t="shared" ref="J28:J40" si="52" xml:space="preserve"> IF(E28="XX", "XX",G28*$AN$5)</f>
        <v>13.871516393765672</v>
      </c>
      <c r="K28" s="20">
        <f t="shared" ref="K28:K40" si="53" xml:space="preserve"> IF(E28="XX", "XX", ( $K$79 + $U$2 * (E28-$D$2)/$F$2 ) )</f>
        <v>13.319327731092438</v>
      </c>
      <c r="L28" s="27">
        <f t="shared" ref="L28:L40" si="54" xml:space="preserve"> IF(E28="XX", "XX", $L$79 - $AA$2*(E28-$E$79))</f>
        <v>91.123159999999999</v>
      </c>
      <c r="M28" s="17">
        <f t="shared" ref="M28:M40" si="55">IF(E28="XX","XX ", $M$79-$AC$2*(E28-$E$79))</f>
        <v>72.451740000000001</v>
      </c>
      <c r="N28" s="22">
        <f t="shared" ref="N28:N40" si="56">IF(E28="XX","XX",100.45+33.193*AB28+2.319*AB28^2+0.17074*AB28^3+1.2063*(AA28*0.4897705)^3)</f>
        <v>63.831894432579219</v>
      </c>
      <c r="O28" s="23">
        <f t="shared" ref="O28:O40" si="57">IF(E28="XX","XX ",((1093-0.556*M28)*X28-0.24*(L28-M28))/(1093+0.444*L28-M28))</f>
        <v>1.3873950367099045E-2</v>
      </c>
      <c r="P28" s="22">
        <f t="shared" ref="P28:P40" si="58" xml:space="preserve"> IF(E28="XX", "XX", ((O28/AC28)/(1-(1-(O28/AC28))*(Y28/J28)))*100)</f>
        <v>41.77226070749397</v>
      </c>
      <c r="Q28" s="102">
        <f t="shared" ref="Q28:Q40" si="59" xml:space="preserve"> IF(E28="XX", "XX", 0.7543*(T28*(1+1.6078*O28))/H28)</f>
        <v>14.998525089001802</v>
      </c>
      <c r="R28" s="106">
        <f t="shared" ref="R28:R40" si="60" xml:space="preserve"> IF(E28="XX", "XX", 1/Q28)</f>
        <v>6.6673222471273871E-2</v>
      </c>
      <c r="S28" s="32">
        <f t="shared" ref="S28:S40" si="61">IF(E28="XX", "XX", 0.24*L28+O28*(1061+0.444*L28))</f>
        <v>37.15114149990724</v>
      </c>
      <c r="T28" s="24">
        <f t="shared" ref="T28:T40" si="62">IF(E28="XX", "XX", L28+459.7)</f>
        <v>550.82316000000003</v>
      </c>
      <c r="U28" s="66">
        <f t="shared" ref="U28:U40" si="63">IF(E28="XX", "XX", M28+459.7)</f>
        <v>532.15174000000002</v>
      </c>
      <c r="W28" s="1202">
        <f t="shared" ref="W28:W40" si="64" xml:space="preserve"> IF(E28="XX", "XX", EXP((-10440.397/U28)+(-11.29465) + (-0.027022355*U28) + (0.00001289036*U28*U28) + (-0.0000000024780681*U28^3)+(6.5459673*LN(U28))) )</f>
        <v>0.39520123548816866</v>
      </c>
      <c r="X28" s="21">
        <f t="shared" ref="X28:X40" si="65">IF(E28="XX", "XX", 0.62198*W28/(J28-W28))</f>
        <v>1.8239946273291917E-2</v>
      </c>
      <c r="Y28" s="23">
        <f t="shared" ref="Y28:Y40" si="66" xml:space="preserve"> IF(E28="XX", "XX", EXP((-10440.397/T28)+(-11.29465) + (-0.027022355*T28) + (0.00001289036*T28*T28) + (-0.0000000024780681*T28^3)+(6.5459673*LN(T28))) )</f>
        <v>0.72456728683809901</v>
      </c>
      <c r="Z28" s="21">
        <f t="shared" ref="Z28:Z40" si="67">IF(E28="XX", "XX", Y28*2.041772658 )</f>
        <v>1.4794016751472741</v>
      </c>
      <c r="AA28" s="21">
        <f t="shared" ref="AA28:AA40" si="68">IF(E28="XX", "XX", (H28*O28)/(0.62198+O28))</f>
        <v>0.61791913897858852</v>
      </c>
      <c r="AB28" s="21">
        <f t="shared" ref="AB28:AB40" si="69">IF(E28="XX", "XX", LN(AA28*0.4897705))</f>
        <v>-1.1952160381045156</v>
      </c>
      <c r="AC28" s="70">
        <f t="shared" ref="AC28:AC40" si="70">IF(E28="XX", "XX", 0.62198*(Y28/(J28-Y28)))</f>
        <v>3.427915917238087E-2</v>
      </c>
      <c r="AF28" s="1168">
        <f t="shared" ref="AF28:AF40" si="71">B28</f>
        <v>46</v>
      </c>
      <c r="AG28" s="19">
        <f t="shared" ref="AG28:AG40" si="72">C28</f>
        <v>25</v>
      </c>
      <c r="AH28" s="1188">
        <f t="shared" ref="AH28:AH40" si="73">D28</f>
        <v>83</v>
      </c>
      <c r="AI28" s="19">
        <f t="shared" ref="AI28:AI40" si="74">E28</f>
        <v>1589</v>
      </c>
      <c r="AJ28" s="1100">
        <f t="shared" ref="AJ28:AJ40" si="75">F28</f>
        <v>484.3272</v>
      </c>
      <c r="AK28" s="1146">
        <f t="shared" ref="AK28:AK40" si="76">IF( (AG28&gt;0),1, 0)</f>
        <v>1</v>
      </c>
      <c r="AL28" s="97">
        <f t="shared" ref="AL28:AL40" si="77" xml:space="preserve"> IF(D28="XX", "XX", E28- $D$2)</f>
        <v>1089</v>
      </c>
      <c r="AM28" s="75">
        <f t="shared" ref="AM28:AM40" si="78" xml:space="preserve"> IF(D28="XX", "XX", $AP$5 * R28 * (T28-$T$5)/$T$5 * $AR$5 * ($H$2-AL28))</f>
        <v>-1.6804803997186375E-2</v>
      </c>
      <c r="AN28" s="75">
        <f t="shared" ref="AN28:AN40" si="79" xml:space="preserve"> IF(D28="XX", "XX", $AT$5 * $AP$6^2 * $AT$6 * R28 * K28^2/2)</f>
        <v>7.9958152781779354E-4</v>
      </c>
      <c r="AO28" s="75">
        <f t="shared" ref="AO28:AO40" si="80" xml:space="preserve"> IF(D28="XX", "XX", AM28 +AN28)</f>
        <v>-1.6005222469368582E-2</v>
      </c>
      <c r="AP28" s="75">
        <f xml:space="preserve"> IF(D28="XX", "XX", AO28 +$Z$27)</f>
        <v>-6.0052224693685815E-3</v>
      </c>
      <c r="AQ28" s="12">
        <f xml:space="preserve"> IF(D28="XX", 0, 60 * ($AC$27 * $AN$27 * (2 * ABS(AP28)/R28)^0.5))</f>
        <v>669.15780168473498</v>
      </c>
      <c r="AR28" s="13" t="str">
        <f t="shared" ref="AR28:AR40" si="81">IF(D28="XX", "XX", IF(AP28&lt;0, "Exfl", "Infl"))</f>
        <v>Exfl</v>
      </c>
      <c r="AS28" s="12">
        <f t="shared" ref="AS28:AS40" si="82" xml:space="preserve"> IF(AR28="Infl", -AQ28, AQ28)</f>
        <v>669.15780168473498</v>
      </c>
      <c r="AT28" s="98">
        <f>IF(D28="XX", "XX", AS28/$O$27)</f>
        <v>0.14069781661027031</v>
      </c>
      <c r="AU28" s="12">
        <f t="shared" ref="AU28:AU40" si="83">IF(D28="XX", "XX", AS28*1.08*(L28-$L$6))</f>
        <v>11652.053365956152</v>
      </c>
      <c r="AV28" s="1047">
        <f t="shared" ref="AV28:AV40" si="84" xml:space="preserve"> IF(D28="XX", 0, AS28 * 1.08 * 3000/1000)</f>
        <v>2168.0712774585418</v>
      </c>
    </row>
    <row r="29" spans="2:48" ht="21" customHeight="1">
      <c r="B29" s="1168">
        <f>'Input-Output'!BK24</f>
        <v>46</v>
      </c>
      <c r="C29" s="19">
        <f>'Input-Output'!BL24</f>
        <v>24</v>
      </c>
      <c r="D29" s="1188">
        <f>'Input-Output'!BM24</f>
        <v>82</v>
      </c>
      <c r="E29" s="19">
        <f>'Input-Output'!BN24</f>
        <v>1579</v>
      </c>
      <c r="F29" s="19">
        <f>'Input-Output'!BO24</f>
        <v>481.2792</v>
      </c>
      <c r="G29" s="20">
        <f t="shared" si="49"/>
        <v>95.675722740220436</v>
      </c>
      <c r="H29" s="20">
        <f t="shared" si="50"/>
        <v>28.33006317111326</v>
      </c>
      <c r="I29" s="20">
        <f t="shared" si="51"/>
        <v>384.47918479463254</v>
      </c>
      <c r="J29" s="20">
        <f t="shared" si="52"/>
        <v>13.876584934097831</v>
      </c>
      <c r="K29" s="20">
        <f t="shared" si="53"/>
        <v>13.242933537051185</v>
      </c>
      <c r="L29" s="27">
        <f t="shared" si="54"/>
        <v>91.158760000000001</v>
      </c>
      <c r="M29" s="17">
        <f t="shared" si="55"/>
        <v>72.475139999999996</v>
      </c>
      <c r="N29" s="22">
        <f t="shared" si="56"/>
        <v>63.85239467196245</v>
      </c>
      <c r="O29" s="23">
        <f t="shared" si="57"/>
        <v>1.3878978068877812E-2</v>
      </c>
      <c r="P29" s="22">
        <f t="shared" si="58"/>
        <v>41.755909372103751</v>
      </c>
      <c r="Q29" s="102">
        <f t="shared" si="59"/>
        <v>14.994134319313615</v>
      </c>
      <c r="R29" s="106">
        <f t="shared" si="60"/>
        <v>6.6692746557026769E-2</v>
      </c>
      <c r="S29" s="32">
        <f t="shared" si="61"/>
        <v>37.165442682366148</v>
      </c>
      <c r="T29" s="24">
        <f t="shared" si="62"/>
        <v>550.85875999999996</v>
      </c>
      <c r="U29" s="66">
        <f t="shared" si="63"/>
        <v>532.17513999999994</v>
      </c>
      <c r="W29" s="1202">
        <f t="shared" si="64"/>
        <v>0.39551354853146986</v>
      </c>
      <c r="X29" s="21">
        <f t="shared" si="65"/>
        <v>1.8247920352902184E-2</v>
      </c>
      <c r="Y29" s="23">
        <f t="shared" si="66"/>
        <v>0.72537291235496693</v>
      </c>
      <c r="Z29" s="21">
        <f t="shared" si="67"/>
        <v>1.4810465793002019</v>
      </c>
      <c r="AA29" s="21">
        <f t="shared" si="68"/>
        <v>0.61836403825882968</v>
      </c>
      <c r="AB29" s="21">
        <f t="shared" si="69"/>
        <v>-1.1944963012228071</v>
      </c>
      <c r="AC29" s="70">
        <f t="shared" si="70"/>
        <v>3.4306149370919456E-2</v>
      </c>
      <c r="AF29" s="1168">
        <f t="shared" si="71"/>
        <v>46</v>
      </c>
      <c r="AG29" s="19">
        <f t="shared" si="72"/>
        <v>24</v>
      </c>
      <c r="AH29" s="1188">
        <f t="shared" si="73"/>
        <v>82</v>
      </c>
      <c r="AI29" s="19">
        <f t="shared" si="74"/>
        <v>1579</v>
      </c>
      <c r="AJ29" s="1100">
        <f t="shared" si="75"/>
        <v>481.2792</v>
      </c>
      <c r="AK29" s="1146">
        <f t="shared" si="76"/>
        <v>1</v>
      </c>
      <c r="AL29" s="97">
        <f t="shared" si="77"/>
        <v>1079</v>
      </c>
      <c r="AM29" s="75">
        <f t="shared" si="78"/>
        <v>-1.645911156252261E-2</v>
      </c>
      <c r="AN29" s="75">
        <f t="shared" si="79"/>
        <v>7.9066715432860968E-4</v>
      </c>
      <c r="AO29" s="75">
        <f t="shared" si="80"/>
        <v>-1.5668444408194E-2</v>
      </c>
      <c r="AP29" s="75">
        <f t="shared" ref="AP29:AP40" si="85" xml:space="preserve"> IF(D29="XX", "XX", AO29 +$Z$27)</f>
        <v>-5.6684444081939993E-3</v>
      </c>
      <c r="AQ29" s="12">
        <f t="shared" ref="AQ29:AQ40" si="86" xml:space="preserve"> IF(D29="XX", 0, 60 * ($AC$27 * $AN$27 * (2 * ABS(AP29)/R29)^0.5))</f>
        <v>650.02844664429995</v>
      </c>
      <c r="AR29" s="13" t="str">
        <f t="shared" si="81"/>
        <v>Exfl</v>
      </c>
      <c r="AS29" s="12">
        <f t="shared" si="82"/>
        <v>650.02844664429995</v>
      </c>
      <c r="AT29" s="98">
        <f t="shared" ref="AT29:AT40" si="87">IF(D29="XX", "XX", AS29/$O$27)</f>
        <v>0.13667565848766366</v>
      </c>
      <c r="AU29" s="12">
        <f t="shared" si="83"/>
        <v>11343.945955497893</v>
      </c>
      <c r="AV29" s="1047">
        <f t="shared" si="84"/>
        <v>2106.0921671275319</v>
      </c>
    </row>
    <row r="30" spans="2:48" ht="21" customHeight="1">
      <c r="B30" s="1168">
        <f>'Input-Output'!BK25</f>
        <v>45</v>
      </c>
      <c r="C30" s="19">
        <f>'Input-Output'!BL25</f>
        <v>23</v>
      </c>
      <c r="D30" s="1188">
        <f>'Input-Output'!BM25</f>
        <v>81</v>
      </c>
      <c r="E30" s="19">
        <f>'Input-Output'!BN25</f>
        <v>1569</v>
      </c>
      <c r="F30" s="19">
        <f>'Input-Output'!BO25</f>
        <v>478.2312</v>
      </c>
      <c r="G30" s="20">
        <f t="shared" si="49"/>
        <v>95.710679448095661</v>
      </c>
      <c r="H30" s="20">
        <f t="shared" si="50"/>
        <v>28.340414028300387</v>
      </c>
      <c r="I30" s="20">
        <f t="shared" si="51"/>
        <v>384.61966062446726</v>
      </c>
      <c r="J30" s="20">
        <f t="shared" si="52"/>
        <v>13.881654973936088</v>
      </c>
      <c r="K30" s="20">
        <f t="shared" si="53"/>
        <v>13.166539343009932</v>
      </c>
      <c r="L30" s="27">
        <f t="shared" si="54"/>
        <v>91.194360000000003</v>
      </c>
      <c r="M30" s="17">
        <f t="shared" si="55"/>
        <v>72.498540000000006</v>
      </c>
      <c r="N30" s="22">
        <f t="shared" si="56"/>
        <v>63.872897272114322</v>
      </c>
      <c r="O30" s="23">
        <f t="shared" si="57"/>
        <v>1.3884008209997066E-2</v>
      </c>
      <c r="P30" s="22">
        <f t="shared" si="58"/>
        <v>41.739571894602975</v>
      </c>
      <c r="Q30" s="102">
        <f t="shared" si="59"/>
        <v>14.989745209607342</v>
      </c>
      <c r="R30" s="106">
        <f t="shared" si="60"/>
        <v>6.6712274692906207E-2</v>
      </c>
      <c r="S30" s="32">
        <f t="shared" si="61"/>
        <v>37.179746710674657</v>
      </c>
      <c r="T30" s="24">
        <f t="shared" si="62"/>
        <v>550.89436000000001</v>
      </c>
      <c r="U30" s="66">
        <f t="shared" si="63"/>
        <v>532.19853999999998</v>
      </c>
      <c r="W30" s="1202">
        <f t="shared" si="64"/>
        <v>0.39582607721993884</v>
      </c>
      <c r="X30" s="21">
        <f t="shared" si="65"/>
        <v>1.8255897015659689E-2</v>
      </c>
      <c r="Y30" s="23">
        <f t="shared" si="66"/>
        <v>0.72617931499287736</v>
      </c>
      <c r="Z30" s="21">
        <f t="shared" si="67"/>
        <v>1.4826930701576266</v>
      </c>
      <c r="AA30" s="21">
        <f t="shared" si="68"/>
        <v>0.61880926733266295</v>
      </c>
      <c r="AB30" s="21">
        <f t="shared" si="69"/>
        <v>-1.1937765490408911</v>
      </c>
      <c r="AC30" s="70">
        <f t="shared" si="70"/>
        <v>3.4333156933951017E-2</v>
      </c>
      <c r="AF30" s="1168">
        <f t="shared" si="71"/>
        <v>45</v>
      </c>
      <c r="AG30" s="19">
        <f t="shared" si="72"/>
        <v>23</v>
      </c>
      <c r="AH30" s="1188">
        <f t="shared" si="73"/>
        <v>81</v>
      </c>
      <c r="AI30" s="19">
        <f t="shared" si="74"/>
        <v>1569</v>
      </c>
      <c r="AJ30" s="1100">
        <f t="shared" si="75"/>
        <v>478.2312</v>
      </c>
      <c r="AK30" s="1146">
        <f t="shared" si="76"/>
        <v>1</v>
      </c>
      <c r="AL30" s="97">
        <f t="shared" si="77"/>
        <v>1069</v>
      </c>
      <c r="AM30" s="75">
        <f t="shared" si="78"/>
        <v>-1.6111505880316245E-2</v>
      </c>
      <c r="AN30" s="75">
        <f t="shared" si="79"/>
        <v>7.8180011035881391E-4</v>
      </c>
      <c r="AO30" s="75">
        <f t="shared" si="80"/>
        <v>-1.5329705769957432E-2</v>
      </c>
      <c r="AP30" s="75">
        <f t="shared" si="85"/>
        <v>-5.3297057699574317E-3</v>
      </c>
      <c r="AQ30" s="12">
        <f t="shared" si="86"/>
        <v>630.21460110254907</v>
      </c>
      <c r="AR30" s="13" t="str">
        <f t="shared" si="81"/>
        <v>Exfl</v>
      </c>
      <c r="AS30" s="12">
        <f t="shared" si="82"/>
        <v>630.21460110254907</v>
      </c>
      <c r="AT30" s="98">
        <f t="shared" si="87"/>
        <v>0.13250957867904639</v>
      </c>
      <c r="AU30" s="12">
        <f t="shared" si="83"/>
        <v>11022.395897711966</v>
      </c>
      <c r="AV30" s="1047">
        <f t="shared" si="84"/>
        <v>2041.8953075722591</v>
      </c>
    </row>
    <row r="31" spans="2:48" ht="21" customHeight="1">
      <c r="B31" s="1168">
        <f>'Input-Output'!BK26</f>
        <v>44</v>
      </c>
      <c r="C31" s="19">
        <f>'Input-Output'!BL26</f>
        <v>21</v>
      </c>
      <c r="D31" s="1188">
        <f>'Input-Output'!BM26</f>
        <v>79</v>
      </c>
      <c r="E31" s="19">
        <f>'Input-Output'!BN26</f>
        <v>1549</v>
      </c>
      <c r="F31" s="19">
        <f>'Input-Output'!BO26</f>
        <v>472.1352</v>
      </c>
      <c r="G31" s="20">
        <f t="shared" si="49"/>
        <v>95.780623889409469</v>
      </c>
      <c r="H31" s="20">
        <f t="shared" si="50"/>
        <v>28.36112492950015</v>
      </c>
      <c r="I31" s="20">
        <f t="shared" si="51"/>
        <v>384.90073696240376</v>
      </c>
      <c r="J31" s="20">
        <f t="shared" si="52"/>
        <v>13.891799553488358</v>
      </c>
      <c r="K31" s="20">
        <f t="shared" si="53"/>
        <v>13.013750954927426</v>
      </c>
      <c r="L31" s="27">
        <f t="shared" si="54"/>
        <v>91.265559999999994</v>
      </c>
      <c r="M31" s="17">
        <f t="shared" si="55"/>
        <v>72.545339999999996</v>
      </c>
      <c r="N31" s="22">
        <f t="shared" si="56"/>
        <v>63.913909551111082</v>
      </c>
      <c r="O31" s="23">
        <f t="shared" si="57"/>
        <v>1.3894075812015709E-2</v>
      </c>
      <c r="P31" s="22">
        <f t="shared" si="58"/>
        <v>41.706938452425035</v>
      </c>
      <c r="Q31" s="102">
        <f t="shared" si="59"/>
        <v>14.980971967176757</v>
      </c>
      <c r="R31" s="106">
        <f t="shared" si="60"/>
        <v>6.6751343116521117E-2</v>
      </c>
      <c r="S31" s="32">
        <f t="shared" si="61"/>
        <v>37.208363307240397</v>
      </c>
      <c r="T31" s="24">
        <f t="shared" si="62"/>
        <v>550.96555999999998</v>
      </c>
      <c r="U31" s="66">
        <f t="shared" si="63"/>
        <v>532.24533999999994</v>
      </c>
      <c r="W31" s="1202">
        <f t="shared" si="64"/>
        <v>0.39645178203441434</v>
      </c>
      <c r="X31" s="21">
        <f t="shared" si="65"/>
        <v>1.8271858092560943E-2</v>
      </c>
      <c r="Y31" s="23">
        <f t="shared" si="66"/>
        <v>0.72779445413106747</v>
      </c>
      <c r="Z31" s="21">
        <f t="shared" si="67"/>
        <v>1.4859908170888489</v>
      </c>
      <c r="AA31" s="21">
        <f t="shared" si="68"/>
        <v>0.6197007157137473</v>
      </c>
      <c r="AB31" s="21">
        <f t="shared" si="69"/>
        <v>-1.1923369990215402</v>
      </c>
      <c r="AC31" s="70">
        <f t="shared" si="70"/>
        <v>3.4387224189281293E-2</v>
      </c>
      <c r="AF31" s="1168">
        <f t="shared" si="71"/>
        <v>44</v>
      </c>
      <c r="AG31" s="19">
        <f t="shared" si="72"/>
        <v>21</v>
      </c>
      <c r="AH31" s="1188">
        <f t="shared" si="73"/>
        <v>79</v>
      </c>
      <c r="AI31" s="19">
        <f t="shared" si="74"/>
        <v>1549</v>
      </c>
      <c r="AJ31" s="1100">
        <f t="shared" si="75"/>
        <v>472.1352</v>
      </c>
      <c r="AK31" s="1146">
        <f t="shared" si="76"/>
        <v>1</v>
      </c>
      <c r="AL31" s="97">
        <f t="shared" si="77"/>
        <v>1049</v>
      </c>
      <c r="AM31" s="75">
        <f t="shared" si="78"/>
        <v>-1.541054851330219E-2</v>
      </c>
      <c r="AN31" s="75">
        <f t="shared" si="79"/>
        <v>7.6420818928601638E-4</v>
      </c>
      <c r="AO31" s="75">
        <f t="shared" si="80"/>
        <v>-1.4646340324016174E-2</v>
      </c>
      <c r="AP31" s="75">
        <f t="shared" si="85"/>
        <v>-4.6463403240161738E-3</v>
      </c>
      <c r="AQ31" s="12">
        <f t="shared" si="86"/>
        <v>588.25445165897997</v>
      </c>
      <c r="AR31" s="13" t="str">
        <f t="shared" si="81"/>
        <v>Exfl</v>
      </c>
      <c r="AS31" s="12">
        <f t="shared" si="82"/>
        <v>588.25445165897997</v>
      </c>
      <c r="AT31" s="98">
        <f t="shared" si="87"/>
        <v>0.12368699393672238</v>
      </c>
      <c r="AU31" s="12">
        <f t="shared" si="83"/>
        <v>10333.751125024333</v>
      </c>
      <c r="AV31" s="1047">
        <f t="shared" si="84"/>
        <v>1905.9444233750953</v>
      </c>
    </row>
    <row r="32" spans="2:48" ht="21" customHeight="1">
      <c r="B32" s="1168">
        <f>'Input-Output'!BK27</f>
        <v>43</v>
      </c>
      <c r="C32" s="19">
        <f>'Input-Output'!BL27</f>
        <v>20</v>
      </c>
      <c r="D32" s="1188">
        <f>'Input-Output'!BM27</f>
        <v>78</v>
      </c>
      <c r="E32" s="19">
        <f>'Input-Output'!BN27</f>
        <v>1539</v>
      </c>
      <c r="F32" s="19">
        <f>'Input-Output'!BO27</f>
        <v>469.0872</v>
      </c>
      <c r="G32" s="20">
        <f t="shared" si="49"/>
        <v>95.815611627528625</v>
      </c>
      <c r="H32" s="20">
        <f t="shared" si="50"/>
        <v>28.371484974898724</v>
      </c>
      <c r="I32" s="20">
        <f t="shared" si="51"/>
        <v>385.04133748931474</v>
      </c>
      <c r="J32" s="20">
        <f t="shared" si="52"/>
        <v>13.89687409388123</v>
      </c>
      <c r="K32" s="20">
        <f t="shared" si="53"/>
        <v>12.937356760886173</v>
      </c>
      <c r="L32" s="27">
        <f t="shared" si="54"/>
        <v>91.301159999999996</v>
      </c>
      <c r="M32" s="17">
        <f t="shared" si="55"/>
        <v>72.568740000000005</v>
      </c>
      <c r="N32" s="22">
        <f t="shared" si="56"/>
        <v>63.934419228153615</v>
      </c>
      <c r="O32" s="23">
        <f t="shared" si="57"/>
        <v>1.3899113273795021E-2</v>
      </c>
      <c r="P32" s="22">
        <f t="shared" si="58"/>
        <v>41.690642457377265</v>
      </c>
      <c r="Q32" s="102">
        <f t="shared" si="59"/>
        <v>14.976587832971516</v>
      </c>
      <c r="R32" s="106">
        <f t="shared" si="60"/>
        <v>6.6770883404994472E-2</v>
      </c>
      <c r="S32" s="32">
        <f t="shared" si="61"/>
        <v>37.222675876698297</v>
      </c>
      <c r="T32" s="24">
        <f t="shared" si="62"/>
        <v>551.00116000000003</v>
      </c>
      <c r="U32" s="66">
        <f t="shared" si="63"/>
        <v>532.26873999999998</v>
      </c>
      <c r="W32" s="1202">
        <f t="shared" si="64"/>
        <v>0.39676495841159531</v>
      </c>
      <c r="X32" s="21">
        <f t="shared" si="65"/>
        <v>1.8279842507677564E-2</v>
      </c>
      <c r="Y32" s="23">
        <f t="shared" si="66"/>
        <v>0.72860319188192857</v>
      </c>
      <c r="Z32" s="21">
        <f t="shared" si="67"/>
        <v>1.4876420757160496</v>
      </c>
      <c r="AA32" s="21">
        <f t="shared" si="68"/>
        <v>0.62014693544761512</v>
      </c>
      <c r="AB32" s="21">
        <f t="shared" si="69"/>
        <v>-1.1916172013065296</v>
      </c>
      <c r="AC32" s="70">
        <f t="shared" si="70"/>
        <v>3.4414283899484283E-2</v>
      </c>
      <c r="AF32" s="1168">
        <f t="shared" si="71"/>
        <v>43</v>
      </c>
      <c r="AG32" s="19">
        <f t="shared" si="72"/>
        <v>20</v>
      </c>
      <c r="AH32" s="1188">
        <f t="shared" si="73"/>
        <v>78</v>
      </c>
      <c r="AI32" s="19">
        <f t="shared" si="74"/>
        <v>1539</v>
      </c>
      <c r="AJ32" s="1100">
        <f t="shared" si="75"/>
        <v>469.0872</v>
      </c>
      <c r="AK32" s="1146">
        <f t="shared" si="76"/>
        <v>1</v>
      </c>
      <c r="AL32" s="97">
        <f t="shared" si="77"/>
        <v>1039</v>
      </c>
      <c r="AM32" s="75">
        <f t="shared" si="78"/>
        <v>-1.5057193696931958E-2</v>
      </c>
      <c r="AN32" s="75">
        <f t="shared" si="79"/>
        <v>7.5548340138476651E-4</v>
      </c>
      <c r="AO32" s="75">
        <f t="shared" si="80"/>
        <v>-1.4301710295547191E-2</v>
      </c>
      <c r="AP32" s="75">
        <f t="shared" si="85"/>
        <v>-4.3017102955471911E-3</v>
      </c>
      <c r="AQ32" s="12">
        <f t="shared" si="86"/>
        <v>565.93523872255628</v>
      </c>
      <c r="AR32" s="13" t="str">
        <f t="shared" si="81"/>
        <v>Exfl</v>
      </c>
      <c r="AS32" s="12">
        <f t="shared" si="82"/>
        <v>565.93523872255628</v>
      </c>
      <c r="AT32" s="98">
        <f t="shared" si="87"/>
        <v>0.11899413296923715</v>
      </c>
      <c r="AU32" s="12">
        <f t="shared" si="83"/>
        <v>9963.4329461389498</v>
      </c>
      <c r="AV32" s="1047">
        <f t="shared" si="84"/>
        <v>1833.6301734610824</v>
      </c>
    </row>
    <row r="33" spans="2:48" ht="21" customHeight="1">
      <c r="B33" s="1168">
        <f>'Input-Output'!BK28</f>
        <v>42</v>
      </c>
      <c r="C33" s="19">
        <f>'Input-Output'!BL28</f>
        <v>18</v>
      </c>
      <c r="D33" s="1188">
        <f>'Input-Output'!BM28</f>
        <v>76</v>
      </c>
      <c r="E33" s="19">
        <f>'Input-Output'!BN28</f>
        <v>1519</v>
      </c>
      <c r="F33" s="19">
        <f>'Input-Output'!BO28</f>
        <v>462.99120000000005</v>
      </c>
      <c r="G33" s="20">
        <f t="shared" si="49"/>
        <v>95.885618150395715</v>
      </c>
      <c r="H33" s="20">
        <f t="shared" si="50"/>
        <v>28.392214258758951</v>
      </c>
      <c r="I33" s="20">
        <f t="shared" si="51"/>
        <v>385.32266330605643</v>
      </c>
      <c r="J33" s="20">
        <f t="shared" si="52"/>
        <v>13.907027677598007</v>
      </c>
      <c r="K33" s="20">
        <f t="shared" si="53"/>
        <v>12.784568372803667</v>
      </c>
      <c r="L33" s="27">
        <f t="shared" si="54"/>
        <v>91.37236</v>
      </c>
      <c r="M33" s="17">
        <f t="shared" si="55"/>
        <v>72.615539999999996</v>
      </c>
      <c r="N33" s="22">
        <f t="shared" si="56"/>
        <v>63.975445652825684</v>
      </c>
      <c r="O33" s="23">
        <f t="shared" si="57"/>
        <v>1.390919552109147E-2</v>
      </c>
      <c r="P33" s="22">
        <f t="shared" si="58"/>
        <v>41.658091843582959</v>
      </c>
      <c r="Q33" s="102">
        <f t="shared" si="59"/>
        <v>14.967824534881604</v>
      </c>
      <c r="R33" s="106">
        <f t="shared" si="60"/>
        <v>6.680997613711738E-2</v>
      </c>
      <c r="S33" s="32">
        <f t="shared" si="61"/>
        <v>37.251309560963868</v>
      </c>
      <c r="T33" s="24">
        <f t="shared" si="62"/>
        <v>551.07236</v>
      </c>
      <c r="U33" s="66">
        <f t="shared" si="63"/>
        <v>532.31553999999994</v>
      </c>
      <c r="W33" s="1202">
        <f t="shared" si="64"/>
        <v>0.39739195973417341</v>
      </c>
      <c r="X33" s="21">
        <f t="shared" si="65"/>
        <v>1.8295819093673095E-2</v>
      </c>
      <c r="Y33" s="23">
        <f t="shared" si="66"/>
        <v>0.73022300687649799</v>
      </c>
      <c r="Z33" s="21">
        <f t="shared" si="67"/>
        <v>1.4909493696829796</v>
      </c>
      <c r="AA33" s="21">
        <f t="shared" si="68"/>
        <v>0.6210403670692668</v>
      </c>
      <c r="AB33" s="21">
        <f t="shared" si="69"/>
        <v>-1.1901775607717804</v>
      </c>
      <c r="AC33" s="70">
        <f t="shared" si="70"/>
        <v>3.4468455529755901E-2</v>
      </c>
      <c r="AF33" s="1168">
        <f t="shared" si="71"/>
        <v>42</v>
      </c>
      <c r="AG33" s="19">
        <f t="shared" si="72"/>
        <v>18</v>
      </c>
      <c r="AH33" s="1188">
        <f t="shared" si="73"/>
        <v>76</v>
      </c>
      <c r="AI33" s="19">
        <f t="shared" si="74"/>
        <v>1519</v>
      </c>
      <c r="AJ33" s="1100">
        <f t="shared" si="75"/>
        <v>462.99120000000005</v>
      </c>
      <c r="AK33" s="1146">
        <f t="shared" si="76"/>
        <v>1</v>
      </c>
      <c r="AL33" s="97">
        <f t="shared" si="77"/>
        <v>1019</v>
      </c>
      <c r="AM33" s="75">
        <f t="shared" si="78"/>
        <v>-1.434472396482908E-2</v>
      </c>
      <c r="AN33" s="75">
        <f t="shared" si="79"/>
        <v>7.3817639399929576E-4</v>
      </c>
      <c r="AO33" s="75">
        <f t="shared" si="80"/>
        <v>-1.3606547570829785E-2</v>
      </c>
      <c r="AP33" s="75">
        <f t="shared" si="85"/>
        <v>-3.6065475708297844E-3</v>
      </c>
      <c r="AQ33" s="12">
        <f t="shared" si="86"/>
        <v>518.04190591446979</v>
      </c>
      <c r="AR33" s="13" t="str">
        <f t="shared" si="81"/>
        <v>Exfl</v>
      </c>
      <c r="AS33" s="12">
        <f t="shared" si="82"/>
        <v>518.04190591446979</v>
      </c>
      <c r="AT33" s="98">
        <f t="shared" si="87"/>
        <v>0.10892403091061759</v>
      </c>
      <c r="AU33" s="12">
        <f t="shared" si="83"/>
        <v>9160.0940650152552</v>
      </c>
      <c r="AV33" s="1047">
        <f t="shared" si="84"/>
        <v>1678.4557751628822</v>
      </c>
    </row>
    <row r="34" spans="2:48" ht="21" customHeight="1">
      <c r="B34" s="1168">
        <f>'Input-Output'!BK29</f>
        <v>41</v>
      </c>
      <c r="C34" s="19">
        <f>'Input-Output'!BL29</f>
        <v>16</v>
      </c>
      <c r="D34" s="1188">
        <f>'Input-Output'!BM29</f>
        <v>74</v>
      </c>
      <c r="E34" s="19">
        <f>'Input-Output'!BN29</f>
        <v>1499</v>
      </c>
      <c r="F34" s="19">
        <f>'Input-Output'!BO29</f>
        <v>456.89520000000005</v>
      </c>
      <c r="G34" s="20">
        <f t="shared" si="49"/>
        <v>95.95566608437791</v>
      </c>
      <c r="H34" s="20">
        <f t="shared" si="50"/>
        <v>28.412955804658843</v>
      </c>
      <c r="I34" s="20">
        <f t="shared" si="51"/>
        <v>385.60415553608794</v>
      </c>
      <c r="J34" s="20">
        <f t="shared" si="52"/>
        <v>13.917187267486879</v>
      </c>
      <c r="K34" s="20">
        <f t="shared" si="53"/>
        <v>12.631779984721161</v>
      </c>
      <c r="L34" s="27">
        <f t="shared" si="54"/>
        <v>91.443560000000005</v>
      </c>
      <c r="M34" s="17">
        <f t="shared" si="55"/>
        <v>72.66234</v>
      </c>
      <c r="N34" s="22">
        <f t="shared" si="56"/>
        <v>64.016481498962591</v>
      </c>
      <c r="O34" s="23">
        <f t="shared" si="57"/>
        <v>1.3919287536303998E-2</v>
      </c>
      <c r="P34" s="22">
        <f t="shared" si="58"/>
        <v>41.625596297379779</v>
      </c>
      <c r="Q34" s="102">
        <f t="shared" si="59"/>
        <v>14.959067858957551</v>
      </c>
      <c r="R34" s="106">
        <f t="shared" si="60"/>
        <v>6.6849085078599726E-2</v>
      </c>
      <c r="S34" s="32">
        <f t="shared" si="61"/>
        <v>37.279954643031118</v>
      </c>
      <c r="T34" s="24">
        <f t="shared" si="62"/>
        <v>551.14355999999998</v>
      </c>
      <c r="U34" s="66">
        <f t="shared" si="63"/>
        <v>532.36234000000002</v>
      </c>
      <c r="W34" s="1202">
        <f t="shared" si="64"/>
        <v>0.39801982665286312</v>
      </c>
      <c r="X34" s="21">
        <f t="shared" si="65"/>
        <v>1.8311806023927422E-2</v>
      </c>
      <c r="Y34" s="23">
        <f t="shared" si="66"/>
        <v>0.73184594537189274</v>
      </c>
      <c r="Z34" s="21">
        <f t="shared" si="67"/>
        <v>1.4942630411284923</v>
      </c>
      <c r="AA34" s="21">
        <f t="shared" si="68"/>
        <v>0.62193512298716869</v>
      </c>
      <c r="AB34" s="21">
        <f t="shared" si="69"/>
        <v>-1.1887378605047851</v>
      </c>
      <c r="AC34" s="70">
        <f t="shared" si="70"/>
        <v>3.4522696832955009E-2</v>
      </c>
      <c r="AF34" s="1168">
        <f t="shared" si="71"/>
        <v>41</v>
      </c>
      <c r="AG34" s="19">
        <f t="shared" si="72"/>
        <v>16</v>
      </c>
      <c r="AH34" s="1188">
        <f t="shared" si="73"/>
        <v>74</v>
      </c>
      <c r="AI34" s="19">
        <f t="shared" si="74"/>
        <v>1499</v>
      </c>
      <c r="AJ34" s="1100">
        <f t="shared" si="75"/>
        <v>456.89520000000005</v>
      </c>
      <c r="AK34" s="1146">
        <f t="shared" si="76"/>
        <v>1</v>
      </c>
      <c r="AL34" s="97">
        <f t="shared" si="77"/>
        <v>999</v>
      </c>
      <c r="AM34" s="75">
        <f t="shared" si="78"/>
        <v>-1.3624563648037038E-2</v>
      </c>
      <c r="AN34" s="75">
        <f t="shared" si="79"/>
        <v>7.2105977558698333E-4</v>
      </c>
      <c r="AO34" s="75">
        <f t="shared" si="80"/>
        <v>-1.2903503872450055E-2</v>
      </c>
      <c r="AP34" s="75">
        <f t="shared" si="85"/>
        <v>-2.9035038724500549E-3</v>
      </c>
      <c r="AQ34" s="12">
        <f t="shared" si="86"/>
        <v>464.67915322421112</v>
      </c>
      <c r="AR34" s="13" t="str">
        <f t="shared" si="81"/>
        <v>Exfl</v>
      </c>
      <c r="AS34" s="12">
        <f t="shared" si="82"/>
        <v>464.67915322421112</v>
      </c>
      <c r="AT34" s="98">
        <f t="shared" si="87"/>
        <v>9.7703922928718073E-2</v>
      </c>
      <c r="AU34" s="12">
        <f t="shared" si="83"/>
        <v>8252.2578997348319</v>
      </c>
      <c r="AV34" s="1047">
        <f t="shared" si="84"/>
        <v>1505.5604564464441</v>
      </c>
    </row>
    <row r="35" spans="2:48" ht="21" customHeight="1">
      <c r="B35" s="1168">
        <f>'Input-Output'!BK30</f>
        <v>40</v>
      </c>
      <c r="C35" s="19">
        <f>'Input-Output'!BL30</f>
        <v>13</v>
      </c>
      <c r="D35" s="1188">
        <f>'Input-Output'!BM30</f>
        <v>71</v>
      </c>
      <c r="E35" s="19">
        <f>'Input-Output'!BN30</f>
        <v>1469</v>
      </c>
      <c r="F35" s="19">
        <f>'Input-Output'!BO30</f>
        <v>447.75120000000004</v>
      </c>
      <c r="G35" s="20">
        <f t="shared" si="49"/>
        <v>96.060815672180752</v>
      </c>
      <c r="H35" s="20">
        <f t="shared" si="50"/>
        <v>28.444091126970015</v>
      </c>
      <c r="I35" s="20">
        <f t="shared" si="51"/>
        <v>386.02670607076954</v>
      </c>
      <c r="J35" s="20">
        <f t="shared" si="52"/>
        <v>13.932437919837772</v>
      </c>
      <c r="K35" s="20">
        <f t="shared" si="53"/>
        <v>12.402597402597403</v>
      </c>
      <c r="L35" s="27">
        <f t="shared" si="54"/>
        <v>91.550359999999998</v>
      </c>
      <c r="M35" s="17">
        <f t="shared" si="55"/>
        <v>72.73254</v>
      </c>
      <c r="N35" s="22">
        <f t="shared" si="56"/>
        <v>64.078052917740905</v>
      </c>
      <c r="O35" s="23">
        <f t="shared" si="57"/>
        <v>1.3934443881660536E-2</v>
      </c>
      <c r="P35" s="22">
        <f t="shared" si="58"/>
        <v>41.576955965867505</v>
      </c>
      <c r="Q35" s="102">
        <f t="shared" si="59"/>
        <v>14.945945248709188</v>
      </c>
      <c r="R35" s="106">
        <f t="shared" si="60"/>
        <v>6.6907778889820663E-2</v>
      </c>
      <c r="S35" s="32">
        <f t="shared" si="61"/>
        <v>37.322943647513853</v>
      </c>
      <c r="T35" s="24">
        <f t="shared" si="62"/>
        <v>551.25036</v>
      </c>
      <c r="U35" s="66">
        <f t="shared" si="63"/>
        <v>532.43254000000002</v>
      </c>
      <c r="W35" s="1202">
        <f t="shared" si="64"/>
        <v>0.39896325222662482</v>
      </c>
      <c r="X35" s="21">
        <f t="shared" si="65"/>
        <v>1.8335805823303592E-2</v>
      </c>
      <c r="Y35" s="23">
        <f t="shared" si="66"/>
        <v>0.73428622065724081</v>
      </c>
      <c r="Z35" s="21">
        <f t="shared" si="67"/>
        <v>1.4992455284841093</v>
      </c>
      <c r="AA35" s="21">
        <f t="shared" si="68"/>
        <v>0.6232797436621218</v>
      </c>
      <c r="AB35" s="21">
        <f t="shared" si="69"/>
        <v>-1.1865781991746955</v>
      </c>
      <c r="AC35" s="70">
        <f t="shared" si="70"/>
        <v>3.460418958154176E-2</v>
      </c>
      <c r="AF35" s="1168">
        <f t="shared" si="71"/>
        <v>40</v>
      </c>
      <c r="AG35" s="19">
        <f t="shared" si="72"/>
        <v>13</v>
      </c>
      <c r="AH35" s="1188">
        <f t="shared" si="73"/>
        <v>71</v>
      </c>
      <c r="AI35" s="19">
        <f t="shared" si="74"/>
        <v>1469</v>
      </c>
      <c r="AJ35" s="1100">
        <f t="shared" si="75"/>
        <v>447.75120000000004</v>
      </c>
      <c r="AK35" s="1146">
        <f t="shared" si="76"/>
        <v>1</v>
      </c>
      <c r="AL35" s="97">
        <f t="shared" si="77"/>
        <v>969</v>
      </c>
      <c r="AM35" s="75">
        <f t="shared" si="78"/>
        <v>-1.2529875867434377E-2</v>
      </c>
      <c r="AN35" s="75">
        <f t="shared" si="79"/>
        <v>6.957426095527806E-4</v>
      </c>
      <c r="AO35" s="75">
        <f t="shared" si="80"/>
        <v>-1.1834133257881596E-2</v>
      </c>
      <c r="AP35" s="75">
        <f t="shared" si="85"/>
        <v>-1.8341332578815962E-3</v>
      </c>
      <c r="AQ35" s="12">
        <f t="shared" si="86"/>
        <v>369.16188489828176</v>
      </c>
      <c r="AR35" s="13" t="str">
        <f t="shared" si="81"/>
        <v>Exfl</v>
      </c>
      <c r="AS35" s="12">
        <f t="shared" si="82"/>
        <v>369.16188489828176</v>
      </c>
      <c r="AT35" s="98">
        <f t="shared" si="87"/>
        <v>7.7620362566423684E-2</v>
      </c>
      <c r="AU35" s="12">
        <f t="shared" si="83"/>
        <v>6598.5430608127363</v>
      </c>
      <c r="AV35" s="1047">
        <f t="shared" si="84"/>
        <v>1196.0845070704329</v>
      </c>
    </row>
    <row r="36" spans="2:48" ht="21" customHeight="1">
      <c r="B36" s="1168">
        <f>'Input-Output'!BK31</f>
        <v>39</v>
      </c>
      <c r="C36" s="19">
        <f>'Input-Output'!BL31</f>
        <v>10</v>
      </c>
      <c r="D36" s="1188">
        <f>'Input-Output'!BM31</f>
        <v>68</v>
      </c>
      <c r="E36" s="19">
        <f>'Input-Output'!BN31</f>
        <v>1439</v>
      </c>
      <c r="F36" s="19">
        <f>'Input-Output'!BO31</f>
        <v>438.60720000000003</v>
      </c>
      <c r="G36" s="20">
        <f t="shared" si="49"/>
        <v>96.16605854041471</v>
      </c>
      <c r="H36" s="20">
        <f t="shared" si="50"/>
        <v>28.47525407008645</v>
      </c>
      <c r="I36" s="20">
        <f t="shared" si="51"/>
        <v>386.44963145899902</v>
      </c>
      <c r="J36" s="20">
        <f t="shared" si="52"/>
        <v>13.947702101366056</v>
      </c>
      <c r="K36" s="20">
        <f t="shared" si="53"/>
        <v>12.173414820473644</v>
      </c>
      <c r="L36" s="27">
        <f t="shared" si="54"/>
        <v>91.657160000000005</v>
      </c>
      <c r="M36" s="17">
        <f t="shared" si="55"/>
        <v>72.80274</v>
      </c>
      <c r="N36" s="22">
        <f t="shared" si="56"/>
        <v>64.13964549457782</v>
      </c>
      <c r="O36" s="23">
        <f t="shared" si="57"/>
        <v>1.3949622224613989E-2</v>
      </c>
      <c r="P36" s="22">
        <f t="shared" si="58"/>
        <v>41.52843885889672</v>
      </c>
      <c r="Q36" s="102">
        <f t="shared" si="59"/>
        <v>14.932837505125379</v>
      </c>
      <c r="R36" s="106">
        <f t="shared" si="60"/>
        <v>6.6966509188677054E-2</v>
      </c>
      <c r="S36" s="32">
        <f t="shared" si="61"/>
        <v>37.365958324059804</v>
      </c>
      <c r="T36" s="24">
        <f t="shared" si="62"/>
        <v>551.35716000000002</v>
      </c>
      <c r="U36" s="66">
        <f t="shared" si="63"/>
        <v>532.50274000000002</v>
      </c>
      <c r="W36" s="1202">
        <f t="shared" si="64"/>
        <v>0.39990863105999458</v>
      </c>
      <c r="X36" s="21">
        <f t="shared" si="65"/>
        <v>1.8359828919142521E-2</v>
      </c>
      <c r="Y36" s="23">
        <f t="shared" si="66"/>
        <v>0.73673355207254709</v>
      </c>
      <c r="Z36" s="21">
        <f t="shared" si="67"/>
        <v>1.5042424228529461</v>
      </c>
      <c r="AA36" s="21">
        <f t="shared" si="68"/>
        <v>0.62462735363396527</v>
      </c>
      <c r="AB36" s="21">
        <f t="shared" si="69"/>
        <v>-1.1844184061923273</v>
      </c>
      <c r="AC36" s="70">
        <f t="shared" si="70"/>
        <v>3.4685839498315059E-2</v>
      </c>
      <c r="AF36" s="1168">
        <f t="shared" si="71"/>
        <v>39</v>
      </c>
      <c r="AG36" s="19">
        <f t="shared" si="72"/>
        <v>10</v>
      </c>
      <c r="AH36" s="1188">
        <f t="shared" si="73"/>
        <v>68</v>
      </c>
      <c r="AI36" s="19">
        <f t="shared" si="74"/>
        <v>1439</v>
      </c>
      <c r="AJ36" s="1100">
        <f t="shared" si="75"/>
        <v>438.60720000000003</v>
      </c>
      <c r="AK36" s="1146">
        <f t="shared" si="76"/>
        <v>1</v>
      </c>
      <c r="AL36" s="97">
        <f t="shared" si="77"/>
        <v>939</v>
      </c>
      <c r="AM36" s="75">
        <f t="shared" si="78"/>
        <v>-1.1417813624243227E-2</v>
      </c>
      <c r="AN36" s="75">
        <f t="shared" si="79"/>
        <v>6.7085583137266053E-4</v>
      </c>
      <c r="AO36" s="75">
        <f t="shared" si="80"/>
        <v>-1.0746957792870566E-2</v>
      </c>
      <c r="AP36" s="75">
        <f t="shared" si="85"/>
        <v>-7.4695779287056556E-4</v>
      </c>
      <c r="AQ36" s="12">
        <f t="shared" si="86"/>
        <v>235.48265257311832</v>
      </c>
      <c r="AR36" s="13" t="str">
        <f t="shared" si="81"/>
        <v>Exfl</v>
      </c>
      <c r="AS36" s="12">
        <f t="shared" si="82"/>
        <v>235.48265257311832</v>
      </c>
      <c r="AT36" s="98">
        <f t="shared" si="87"/>
        <v>4.9512827890845192E-2</v>
      </c>
      <c r="AU36" s="12">
        <f t="shared" si="83"/>
        <v>4236.2699988256327</v>
      </c>
      <c r="AV36" s="1047">
        <f t="shared" si="84"/>
        <v>762.96379433690333</v>
      </c>
    </row>
    <row r="37" spans="2:48" ht="21" customHeight="1">
      <c r="B37" s="1168">
        <f>'Input-Output'!BK32</f>
        <v>38</v>
      </c>
      <c r="C37" s="19">
        <f>'Input-Output'!BL32</f>
        <v>7</v>
      </c>
      <c r="D37" s="1188">
        <f>'Input-Output'!BM32</f>
        <v>65</v>
      </c>
      <c r="E37" s="19">
        <f>'Input-Output'!BN32</f>
        <v>1409</v>
      </c>
      <c r="F37" s="19">
        <f>'Input-Output'!BO32</f>
        <v>429.46320000000003</v>
      </c>
      <c r="G37" s="20">
        <f t="shared" si="49"/>
        <v>96.27139475237189</v>
      </c>
      <c r="H37" s="20">
        <f t="shared" si="50"/>
        <v>28.506444652749256</v>
      </c>
      <c r="I37" s="20">
        <f t="shared" si="51"/>
        <v>386.87293195511978</v>
      </c>
      <c r="J37" s="20">
        <f t="shared" si="52"/>
        <v>13.962979821251475</v>
      </c>
      <c r="K37" s="20">
        <f t="shared" si="53"/>
        <v>11.944232238349885</v>
      </c>
      <c r="L37" s="27">
        <f t="shared" si="54"/>
        <v>91.763959999999997</v>
      </c>
      <c r="M37" s="17">
        <f t="shared" si="55"/>
        <v>72.87294</v>
      </c>
      <c r="N37" s="22">
        <f t="shared" si="56"/>
        <v>64.201259205451407</v>
      </c>
      <c r="O37" s="23">
        <f t="shared" si="57"/>
        <v>1.3964822577034592E-2</v>
      </c>
      <c r="P37" s="22">
        <f t="shared" si="58"/>
        <v>41.480044572005795</v>
      </c>
      <c r="Q37" s="102">
        <f t="shared" si="59"/>
        <v>14.919744608321011</v>
      </c>
      <c r="R37" s="106">
        <f t="shared" si="60"/>
        <v>6.7025275985105132E-2</v>
      </c>
      <c r="S37" s="32">
        <f t="shared" si="61"/>
        <v>37.408998688876252</v>
      </c>
      <c r="T37" s="24">
        <f t="shared" si="62"/>
        <v>551.46396000000004</v>
      </c>
      <c r="U37" s="66">
        <f t="shared" si="63"/>
        <v>532.57294000000002</v>
      </c>
      <c r="W37" s="1202">
        <f t="shared" si="64"/>
        <v>0.40085596656010863</v>
      </c>
      <c r="X37" s="21">
        <f t="shared" si="65"/>
        <v>1.8383875324572477E-2</v>
      </c>
      <c r="Y37" s="23">
        <f t="shared" si="66"/>
        <v>0.73918795661087155</v>
      </c>
      <c r="Z37" s="21">
        <f t="shared" si="67"/>
        <v>1.509253758930968</v>
      </c>
      <c r="AA37" s="21">
        <f t="shared" si="68"/>
        <v>0.62597795869228567</v>
      </c>
      <c r="AB37" s="21">
        <f t="shared" si="69"/>
        <v>-1.1822584832012983</v>
      </c>
      <c r="AC37" s="70">
        <f t="shared" si="70"/>
        <v>3.4767646826187042E-2</v>
      </c>
      <c r="AF37" s="1168">
        <f t="shared" si="71"/>
        <v>38</v>
      </c>
      <c r="AG37" s="19">
        <f t="shared" si="72"/>
        <v>7</v>
      </c>
      <c r="AH37" s="1188">
        <f t="shared" si="73"/>
        <v>65</v>
      </c>
      <c r="AI37" s="19">
        <f t="shared" si="74"/>
        <v>1409</v>
      </c>
      <c r="AJ37" s="1100">
        <f t="shared" si="75"/>
        <v>429.46320000000003</v>
      </c>
      <c r="AK37" s="1146">
        <f t="shared" si="76"/>
        <v>1</v>
      </c>
      <c r="AL37" s="97">
        <f t="shared" si="77"/>
        <v>909</v>
      </c>
      <c r="AM37" s="75">
        <f t="shared" si="78"/>
        <v>-1.0288334463484379E-2</v>
      </c>
      <c r="AN37" s="75">
        <f t="shared" si="79"/>
        <v>6.4640065065477972E-4</v>
      </c>
      <c r="AO37" s="75">
        <f t="shared" si="80"/>
        <v>-9.6419338128295989E-3</v>
      </c>
      <c r="AP37" s="75">
        <f t="shared" si="85"/>
        <v>3.5806618717040134E-4</v>
      </c>
      <c r="AQ37" s="12">
        <f t="shared" si="86"/>
        <v>162.96789980422949</v>
      </c>
      <c r="AR37" s="13" t="str">
        <f t="shared" si="81"/>
        <v>Infl</v>
      </c>
      <c r="AS37" s="12">
        <f t="shared" si="82"/>
        <v>-162.96789980422949</v>
      </c>
      <c r="AT37" s="98">
        <f t="shared" si="87"/>
        <v>-3.4265800417013138E-2</v>
      </c>
      <c r="AU37" s="12">
        <f t="shared" si="83"/>
        <v>-2950.54634189028</v>
      </c>
      <c r="AV37" s="1047">
        <f t="shared" si="84"/>
        <v>-528.01599536570359</v>
      </c>
    </row>
    <row r="38" spans="2:48" ht="21" customHeight="1">
      <c r="B38" s="1168">
        <f>'Input-Output'!BK33</f>
        <v>37</v>
      </c>
      <c r="C38" s="19">
        <f>'Input-Output'!BL33</f>
        <v>5</v>
      </c>
      <c r="D38" s="1188">
        <f>'Input-Output'!BM33</f>
        <v>63</v>
      </c>
      <c r="E38" s="19">
        <f>'Input-Output'!BN33</f>
        <v>1389</v>
      </c>
      <c r="F38" s="19">
        <f>'Input-Output'!BO33</f>
        <v>423.36720000000003</v>
      </c>
      <c r="G38" s="20">
        <f t="shared" si="49"/>
        <v>96.341670782569636</v>
      </c>
      <c r="H38" s="20">
        <f t="shared" si="50"/>
        <v>28.527253739086895</v>
      </c>
      <c r="I38" s="20">
        <f t="shared" si="51"/>
        <v>387.15534080479631</v>
      </c>
      <c r="J38" s="20">
        <f t="shared" si="52"/>
        <v>13.973172493686446</v>
      </c>
      <c r="K38" s="20">
        <f t="shared" si="53"/>
        <v>11.791443850267379</v>
      </c>
      <c r="L38" s="27">
        <f t="shared" si="54"/>
        <v>91.835160000000002</v>
      </c>
      <c r="M38" s="17">
        <f t="shared" si="55"/>
        <v>72.919740000000004</v>
      </c>
      <c r="N38" s="22">
        <f t="shared" si="56"/>
        <v>64.242346742011478</v>
      </c>
      <c r="O38" s="23">
        <f t="shared" si="57"/>
        <v>1.3974968378658279E-2</v>
      </c>
      <c r="P38" s="22">
        <f t="shared" si="58"/>
        <v>41.447849748434692</v>
      </c>
      <c r="Q38" s="102">
        <f t="shared" si="59"/>
        <v>14.911024248856259</v>
      </c>
      <c r="R38" s="106">
        <f t="shared" si="60"/>
        <v>6.7064474130722737E-2</v>
      </c>
      <c r="S38" s="32">
        <f t="shared" si="61"/>
        <v>37.437706544686201</v>
      </c>
      <c r="T38" s="24">
        <f t="shared" si="62"/>
        <v>551.53516000000002</v>
      </c>
      <c r="U38" s="66">
        <f t="shared" si="63"/>
        <v>532.61973999999998</v>
      </c>
      <c r="W38" s="1202">
        <f t="shared" si="64"/>
        <v>0.40148861228192895</v>
      </c>
      <c r="X38" s="21">
        <f t="shared" si="65"/>
        <v>1.8399919217781776E-2</v>
      </c>
      <c r="Y38" s="23">
        <f t="shared" si="66"/>
        <v>0.74082816422179676</v>
      </c>
      <c r="Z38" s="21">
        <f t="shared" si="67"/>
        <v>1.5126026899843985</v>
      </c>
      <c r="AA38" s="21">
        <f t="shared" si="68"/>
        <v>0.62688002886444505</v>
      </c>
      <c r="AB38" s="21">
        <f t="shared" si="69"/>
        <v>-1.180818463124002</v>
      </c>
      <c r="AC38" s="70">
        <f t="shared" si="70"/>
        <v>3.4822272615491659E-2</v>
      </c>
      <c r="AF38" s="1168">
        <f t="shared" si="71"/>
        <v>37</v>
      </c>
      <c r="AG38" s="19">
        <f t="shared" si="72"/>
        <v>5</v>
      </c>
      <c r="AH38" s="1188">
        <f t="shared" si="73"/>
        <v>63</v>
      </c>
      <c r="AI38" s="19">
        <f t="shared" si="74"/>
        <v>1389</v>
      </c>
      <c r="AJ38" s="1100">
        <f t="shared" si="75"/>
        <v>423.36720000000003</v>
      </c>
      <c r="AK38" s="1146">
        <f t="shared" si="76"/>
        <v>1</v>
      </c>
      <c r="AL38" s="97">
        <f t="shared" si="77"/>
        <v>889</v>
      </c>
      <c r="AM38" s="75">
        <f t="shared" si="78"/>
        <v>-9.5256513024167943E-3</v>
      </c>
      <c r="AN38" s="75">
        <f t="shared" si="79"/>
        <v>6.3033757124524243E-4</v>
      </c>
      <c r="AO38" s="75">
        <f t="shared" si="80"/>
        <v>-8.8953137311715523E-3</v>
      </c>
      <c r="AP38" s="75">
        <f t="shared" si="85"/>
        <v>1.1046862688284479E-3</v>
      </c>
      <c r="AQ38" s="12">
        <f t="shared" si="86"/>
        <v>286.16264047687542</v>
      </c>
      <c r="AR38" s="13" t="str">
        <f t="shared" si="81"/>
        <v>Infl</v>
      </c>
      <c r="AS38" s="12">
        <f t="shared" si="82"/>
        <v>-286.16264047687542</v>
      </c>
      <c r="AT38" s="98">
        <f t="shared" si="87"/>
        <v>-6.0168854953431855E-2</v>
      </c>
      <c r="AU38" s="12">
        <f t="shared" si="83"/>
        <v>-5203.001345526729</v>
      </c>
      <c r="AV38" s="1047">
        <f t="shared" si="84"/>
        <v>-927.16695514507637</v>
      </c>
    </row>
    <row r="39" spans="2:48" ht="21" customHeight="1">
      <c r="B39" s="1168">
        <f>'Input-Output'!BK34</f>
        <v>36</v>
      </c>
      <c r="C39" s="19">
        <f>'Input-Output'!BL34</f>
        <v>3</v>
      </c>
      <c r="D39" s="1188">
        <f>'Input-Output'!BM34</f>
        <v>61</v>
      </c>
      <c r="E39" s="19">
        <f>'Input-Output'!BN34</f>
        <v>1369</v>
      </c>
      <c r="F39" s="19">
        <f>'Input-Output'!BO34</f>
        <v>417.27120000000002</v>
      </c>
      <c r="G39" s="20">
        <f t="shared" si="49"/>
        <v>96.411988345778411</v>
      </c>
      <c r="H39" s="20">
        <f t="shared" si="50"/>
        <v>28.548075123558192</v>
      </c>
      <c r="I39" s="20">
        <f t="shared" si="51"/>
        <v>387.43791655760936</v>
      </c>
      <c r="J39" s="20">
        <f t="shared" si="52"/>
        <v>13.983371189973013</v>
      </c>
      <c r="K39" s="20">
        <f t="shared" si="53"/>
        <v>11.638655462184875</v>
      </c>
      <c r="L39" s="27">
        <f t="shared" si="54"/>
        <v>91.906360000000006</v>
      </c>
      <c r="M39" s="17">
        <f t="shared" si="55"/>
        <v>72.966539999999995</v>
      </c>
      <c r="N39" s="22">
        <f t="shared" si="56"/>
        <v>64.283443653771883</v>
      </c>
      <c r="O39" s="23">
        <f t="shared" si="57"/>
        <v>1.3985123971058925E-2</v>
      </c>
      <c r="P39" s="22">
        <f t="shared" si="58"/>
        <v>41.415709213480916</v>
      </c>
      <c r="Q39" s="102">
        <f t="shared" si="59"/>
        <v>14.902310473260032</v>
      </c>
      <c r="R39" s="106">
        <f t="shared" si="60"/>
        <v>6.7103688504836251E-2</v>
      </c>
      <c r="S39" s="32">
        <f t="shared" si="61"/>
        <v>37.466425829511493</v>
      </c>
      <c r="T39" s="24">
        <f t="shared" si="62"/>
        <v>551.60636</v>
      </c>
      <c r="U39" s="66">
        <f t="shared" si="63"/>
        <v>532.66653999999994</v>
      </c>
      <c r="W39" s="1202">
        <f t="shared" si="64"/>
        <v>0.40212213016175197</v>
      </c>
      <c r="X39" s="21">
        <f t="shared" si="65"/>
        <v>1.8415973480533629E-2</v>
      </c>
      <c r="Y39" s="23">
        <f t="shared" si="66"/>
        <v>0.74247152806098238</v>
      </c>
      <c r="Z39" s="21">
        <f t="shared" si="67"/>
        <v>1.5159580653383937</v>
      </c>
      <c r="AA39" s="21">
        <f t="shared" si="68"/>
        <v>0.62778343448316742</v>
      </c>
      <c r="AB39" s="21">
        <f t="shared" si="69"/>
        <v>-1.1793783864799636</v>
      </c>
      <c r="AC39" s="70">
        <f t="shared" si="70"/>
        <v>3.487696854555606E-2</v>
      </c>
      <c r="AF39" s="1168">
        <f t="shared" si="71"/>
        <v>36</v>
      </c>
      <c r="AG39" s="19">
        <f t="shared" si="72"/>
        <v>3</v>
      </c>
      <c r="AH39" s="1188">
        <f t="shared" si="73"/>
        <v>61</v>
      </c>
      <c r="AI39" s="19">
        <f t="shared" si="74"/>
        <v>1369</v>
      </c>
      <c r="AJ39" s="1100">
        <f t="shared" si="75"/>
        <v>417.27120000000002</v>
      </c>
      <c r="AK39" s="1146">
        <f t="shared" si="76"/>
        <v>1</v>
      </c>
      <c r="AL39" s="97">
        <f t="shared" si="77"/>
        <v>869</v>
      </c>
      <c r="AM39" s="75">
        <f t="shared" si="78"/>
        <v>-8.755195791485126E-3</v>
      </c>
      <c r="AN39" s="75">
        <f t="shared" si="79"/>
        <v>6.144672104255361E-4</v>
      </c>
      <c r="AO39" s="75">
        <f t="shared" si="80"/>
        <v>-8.1407285810595892E-3</v>
      </c>
      <c r="AP39" s="75">
        <f t="shared" si="85"/>
        <v>1.859271418940411E-3</v>
      </c>
      <c r="AQ39" s="12">
        <f t="shared" si="86"/>
        <v>371.14013261400726</v>
      </c>
      <c r="AR39" s="13" t="str">
        <f t="shared" si="81"/>
        <v>Infl</v>
      </c>
      <c r="AS39" s="12">
        <f t="shared" si="82"/>
        <v>-371.14013261400726</v>
      </c>
      <c r="AT39" s="98">
        <f t="shared" si="87"/>
        <v>-7.8036310992364577E-2</v>
      </c>
      <c r="AU39" s="12">
        <f t="shared" si="83"/>
        <v>-6776.5989878137625</v>
      </c>
      <c r="AV39" s="1047">
        <f t="shared" si="84"/>
        <v>-1202.4940296693835</v>
      </c>
    </row>
    <row r="40" spans="2:48" ht="21" customHeight="1" thickBot="1">
      <c r="B40" s="1168">
        <f>'Input-Output'!BK35</f>
        <v>35</v>
      </c>
      <c r="C40" s="19">
        <f>'Input-Output'!BL35</f>
        <v>1</v>
      </c>
      <c r="D40" s="1188">
        <f>'Input-Output'!BM35</f>
        <v>59</v>
      </c>
      <c r="E40" s="19">
        <f>'Input-Output'!BN35</f>
        <v>1349</v>
      </c>
      <c r="F40" s="19">
        <f>'Input-Output'!BO35</f>
        <v>411.17520000000002</v>
      </c>
      <c r="G40" s="20">
        <f t="shared" si="49"/>
        <v>96.482347460773639</v>
      </c>
      <c r="H40" s="20">
        <f t="shared" si="50"/>
        <v>28.568908811722643</v>
      </c>
      <c r="I40" s="20">
        <f t="shared" si="51"/>
        <v>387.72065928900935</v>
      </c>
      <c r="J40" s="20">
        <f t="shared" si="52"/>
        <v>13.993575912834322</v>
      </c>
      <c r="K40" s="20">
        <f t="shared" si="53"/>
        <v>11.485867074102369</v>
      </c>
      <c r="L40" s="27">
        <f t="shared" si="54"/>
        <v>91.977559999999997</v>
      </c>
      <c r="M40" s="17">
        <f t="shared" si="55"/>
        <v>73.013339999999999</v>
      </c>
      <c r="N40" s="22">
        <f t="shared" si="56"/>
        <v>64.324549933684949</v>
      </c>
      <c r="O40" s="23">
        <f t="shared" si="57"/>
        <v>1.3995289357753415E-2</v>
      </c>
      <c r="P40" s="22">
        <f t="shared" si="58"/>
        <v>41.383622848466025</v>
      </c>
      <c r="Q40" s="102">
        <f t="shared" si="59"/>
        <v>14.893603275663079</v>
      </c>
      <c r="R40" s="106">
        <f t="shared" si="60"/>
        <v>6.7142919110384253E-2</v>
      </c>
      <c r="S40" s="32">
        <f t="shared" si="61"/>
        <v>37.495156548155705</v>
      </c>
      <c r="T40" s="24">
        <f t="shared" si="62"/>
        <v>551.67755999999997</v>
      </c>
      <c r="U40" s="66">
        <f t="shared" si="63"/>
        <v>532.71334000000002</v>
      </c>
      <c r="W40" s="1202">
        <f t="shared" si="64"/>
        <v>0.4027565212125897</v>
      </c>
      <c r="X40" s="21">
        <f t="shared" si="65"/>
        <v>1.8432038116718338E-2</v>
      </c>
      <c r="Y40" s="23">
        <f t="shared" si="66"/>
        <v>0.74411805318682422</v>
      </c>
      <c r="Z40" s="21">
        <f t="shared" si="67"/>
        <v>1.5193198953210476</v>
      </c>
      <c r="AA40" s="21">
        <f t="shared" si="68"/>
        <v>0.62868817727038195</v>
      </c>
      <c r="AB40" s="21">
        <f t="shared" si="69"/>
        <v>-1.1779382537541314</v>
      </c>
      <c r="AC40" s="70">
        <f t="shared" si="70"/>
        <v>3.4931734688611209E-2</v>
      </c>
      <c r="AF40" s="1168">
        <f t="shared" si="71"/>
        <v>35</v>
      </c>
      <c r="AG40" s="19">
        <f t="shared" si="72"/>
        <v>1</v>
      </c>
      <c r="AH40" s="1188">
        <f t="shared" si="73"/>
        <v>59</v>
      </c>
      <c r="AI40" s="19">
        <f t="shared" si="74"/>
        <v>1349</v>
      </c>
      <c r="AJ40" s="1100">
        <f t="shared" si="75"/>
        <v>411.17520000000002</v>
      </c>
      <c r="AK40" s="1146">
        <f t="shared" si="76"/>
        <v>1</v>
      </c>
      <c r="AL40" s="97">
        <f t="shared" si="77"/>
        <v>849</v>
      </c>
      <c r="AM40" s="75">
        <f t="shared" si="78"/>
        <v>-7.9769553135287004E-3</v>
      </c>
      <c r="AN40" s="75">
        <f t="shared" si="79"/>
        <v>5.9878992773922297E-4</v>
      </c>
      <c r="AO40" s="75">
        <f t="shared" si="80"/>
        <v>-7.3781653857894775E-3</v>
      </c>
      <c r="AP40" s="75">
        <f t="shared" si="85"/>
        <v>2.6218346142105227E-3</v>
      </c>
      <c r="AQ40" s="12">
        <f t="shared" si="86"/>
        <v>440.59773010190713</v>
      </c>
      <c r="AR40" s="13" t="str">
        <f t="shared" si="81"/>
        <v>Infl</v>
      </c>
      <c r="AS40" s="12">
        <f t="shared" si="82"/>
        <v>-440.59773010190713</v>
      </c>
      <c r="AT40" s="98">
        <f t="shared" si="87"/>
        <v>-9.2640537811417206E-2</v>
      </c>
      <c r="AU40" s="12">
        <f t="shared" si="83"/>
        <v>-8078.696350562449</v>
      </c>
      <c r="AV40" s="1047">
        <f t="shared" si="84"/>
        <v>-1427.5366455301794</v>
      </c>
    </row>
    <row r="41" spans="2:48" ht="21" customHeight="1">
      <c r="B41" s="1178" t="str">
        <f>'Input-Output'!BK36</f>
        <v>Section &gt;&gt;</v>
      </c>
      <c r="C41" s="1070"/>
      <c r="D41" s="1032" t="str">
        <f>'Input-Output'!BM36</f>
        <v>5-Srv</v>
      </c>
      <c r="E41" s="1070" t="s">
        <v>873</v>
      </c>
      <c r="F41" s="1033">
        <f>'Input-Output'!BO36</f>
        <v>5</v>
      </c>
      <c r="G41" s="1071" t="s">
        <v>867</v>
      </c>
      <c r="H41" s="1072"/>
      <c r="I41" s="1033">
        <f>'Input-Output'!BF44</f>
        <v>75</v>
      </c>
      <c r="J41" s="1072" t="s">
        <v>874</v>
      </c>
      <c r="K41" s="1067">
        <f>'Input-Output'!BF46</f>
        <v>640</v>
      </c>
      <c r="L41" s="1073" t="s">
        <v>885</v>
      </c>
      <c r="M41" s="1091"/>
      <c r="N41" s="1092"/>
      <c r="O41" s="1044">
        <f>'Input-Output'!BF47</f>
        <v>9600</v>
      </c>
      <c r="P41" s="1076" t="s">
        <v>869</v>
      </c>
      <c r="Q41" s="1077"/>
      <c r="R41" s="1033">
        <f>'Input-Output'!BF45</f>
        <v>120000</v>
      </c>
      <c r="S41" s="1076" t="s">
        <v>868</v>
      </c>
      <c r="T41" s="1078"/>
      <c r="U41" s="1056">
        <f>'Input-Output'!BF50</f>
        <v>60</v>
      </c>
      <c r="W41" s="1111" t="s">
        <v>103</v>
      </c>
      <c r="X41" s="1112"/>
      <c r="Y41" s="1112"/>
      <c r="Z41" s="1113">
        <f>'Input-Output'!BF32</f>
        <v>0.02</v>
      </c>
      <c r="AA41" s="35" t="s">
        <v>102</v>
      </c>
      <c r="AB41" s="10"/>
      <c r="AC41" s="1057">
        <f>'Input-Output'!BF31</f>
        <v>0.65</v>
      </c>
      <c r="AF41" s="1166" t="str">
        <f>B41</f>
        <v>Section &gt;&gt;</v>
      </c>
      <c r="AG41" s="1104"/>
      <c r="AH41" s="1105" t="str">
        <f>D41</f>
        <v>5-Srv</v>
      </c>
      <c r="AI41" s="1104" t="str">
        <f>E41</f>
        <v>Flrs/S</v>
      </c>
      <c r="AJ41" s="1106">
        <f>F41</f>
        <v>5</v>
      </c>
      <c r="AK41" s="1207">
        <f>SUM(AK42:AK47)</f>
        <v>5</v>
      </c>
      <c r="AL41" s="1114" t="s">
        <v>112</v>
      </c>
      <c r="AM41" s="1115"/>
      <c r="AN41" s="1116">
        <f>'Input-Output'!BF55</f>
        <v>9.6576000000000004</v>
      </c>
      <c r="AO41" s="1114" t="s">
        <v>882</v>
      </c>
      <c r="AP41" s="1117"/>
      <c r="AQ41" s="1118"/>
      <c r="AR41" s="1080">
        <f xml:space="preserve"> (SUM(AQ42:AQ47)/AK41) * AJ41</f>
        <v>1222.4838192991342</v>
      </c>
      <c r="AS41" s="1114" t="s">
        <v>884</v>
      </c>
      <c r="AT41" s="1117"/>
      <c r="AU41" s="1118"/>
      <c r="AV41" s="1148">
        <f xml:space="preserve"> (SUM(AV42:AV47)/AK41) * AJ41</f>
        <v>-3960.8475745291953</v>
      </c>
    </row>
    <row r="42" spans="2:48" ht="21" customHeight="1">
      <c r="B42" s="1168">
        <f>'Input-Output'!BK37</f>
        <v>34</v>
      </c>
      <c r="C42" s="19">
        <f>'Input-Output'!BL37</f>
        <v>0</v>
      </c>
      <c r="D42" s="1188" t="str">
        <f>'Input-Output'!BM37</f>
        <v>XX</v>
      </c>
      <c r="E42" s="19" t="str">
        <f>'Input-Output'!BN37</f>
        <v>XX</v>
      </c>
      <c r="F42" s="19" t="str">
        <f>'Input-Output'!BO37</f>
        <v>XX</v>
      </c>
      <c r="G42" s="20" t="str">
        <f t="shared" ref="G42:G47" si="88">IF(E42="XX","XX",((101325*(1-2.25577*(10^(-5))*F42)^5.2555)/1000))</f>
        <v>XX</v>
      </c>
      <c r="H42" s="20" t="str">
        <f t="shared" ref="H42:H47" si="89" xml:space="preserve"> IF(E42="XX", "XX", G42*$AJ$5)</f>
        <v>XX</v>
      </c>
      <c r="I42" s="20" t="str">
        <f t="shared" ref="I42:I47" si="90">IF(E42="XX", "XX", G42*$AL$5)</f>
        <v>XX</v>
      </c>
      <c r="J42" s="20" t="str">
        <f t="shared" ref="J42:J47" si="91" xml:space="preserve"> IF(E42="XX", "XX",G42*$AN$5)</f>
        <v>XX</v>
      </c>
      <c r="K42" s="20" t="str">
        <f t="shared" ref="K42:K47" si="92" xml:space="preserve"> IF(E42="XX", "XX", ( $K$79 + $U$2 * (E42-$D$2)/$F$2 ) )</f>
        <v>XX</v>
      </c>
      <c r="L42" s="27" t="str">
        <f t="shared" ref="L42:L47" si="93" xml:space="preserve"> IF(E42="XX", "XX", $L$79 - $AA$2*(E42-$E$79))</f>
        <v>XX</v>
      </c>
      <c r="M42" s="17" t="str">
        <f t="shared" ref="M42:M47" si="94">IF(E42="XX","XX ", $M$79-$AC$2*(E42-$E$79))</f>
        <v xml:space="preserve">XX </v>
      </c>
      <c r="N42" s="22" t="str">
        <f t="shared" ref="N42:N47" si="95">IF(E42="XX","XX",100.45+33.193*AB42+2.319*AB42^2+0.17074*AB42^3+1.2063*(AA42*0.4897705)^3)</f>
        <v>XX</v>
      </c>
      <c r="O42" s="23" t="str">
        <f t="shared" ref="O42:O47" si="96">IF(E42="XX","XX ",((1093-0.556*M42)*X42-0.24*(L42-M42))/(1093+0.444*L42-M42))</f>
        <v xml:space="preserve">XX </v>
      </c>
      <c r="P42" s="22" t="str">
        <f t="shared" ref="P42:P47" si="97" xml:space="preserve"> IF(E42="XX", "XX", ((O42/AC42)/(1-(1-(O42/AC42))*(Y42/J42)))*100)</f>
        <v>XX</v>
      </c>
      <c r="Q42" s="102" t="str">
        <f t="shared" ref="Q42:Q47" si="98" xml:space="preserve"> IF(E42="XX", "XX", 0.7543*(T42*(1+1.6078*O42))/H42)</f>
        <v>XX</v>
      </c>
      <c r="R42" s="106" t="str">
        <f t="shared" ref="R42:R47" si="99" xml:space="preserve"> IF(E42="XX", "XX", 1/Q42)</f>
        <v>XX</v>
      </c>
      <c r="S42" s="32" t="str">
        <f t="shared" ref="S42:S47" si="100">IF(E42="XX", "XX", 0.24*L42+O42*(1061+0.444*L42))</f>
        <v>XX</v>
      </c>
      <c r="T42" s="24" t="str">
        <f t="shared" ref="T42:T47" si="101">IF(E42="XX", "XX", L42+459.7)</f>
        <v>XX</v>
      </c>
      <c r="U42" s="66" t="str">
        <f t="shared" ref="U42:U47" si="102">IF(E42="XX", "XX", M42+459.7)</f>
        <v>XX</v>
      </c>
      <c r="W42" s="1202" t="str">
        <f t="shared" ref="W42:W47" si="103" xml:space="preserve"> IF(E42="XX", "XX", EXP((-10440.397/U42)+(-11.29465) + (-0.027022355*U42) + (0.00001289036*U42*U42) + (-0.0000000024780681*U42^3)+(6.5459673*LN(U42))) )</f>
        <v>XX</v>
      </c>
      <c r="X42" s="21" t="str">
        <f t="shared" ref="X42:X47" si="104">IF(E42="XX", "XX", 0.62198*W42/(J42-W42))</f>
        <v>XX</v>
      </c>
      <c r="Y42" s="23" t="str">
        <f t="shared" ref="Y42:Y47" si="105" xml:space="preserve"> IF(E42="XX", "XX", EXP((-10440.397/T42)+(-11.29465) + (-0.027022355*T42) + (0.00001289036*T42*T42) + (-0.0000000024780681*T42^3)+(6.5459673*LN(T42))) )</f>
        <v>XX</v>
      </c>
      <c r="Z42" s="21" t="str">
        <f t="shared" ref="Z42:Z47" si="106">IF(E42="XX", "XX", Y42*2.041772658 )</f>
        <v>XX</v>
      </c>
      <c r="AA42" s="21" t="str">
        <f t="shared" ref="AA42:AA47" si="107">IF(E42="XX", "XX", (H42*O42)/(0.62198+O42))</f>
        <v>XX</v>
      </c>
      <c r="AB42" s="21" t="str">
        <f t="shared" ref="AB42:AB47" si="108">IF(E42="XX", "XX", LN(AA42*0.4897705))</f>
        <v>XX</v>
      </c>
      <c r="AC42" s="70" t="str">
        <f t="shared" ref="AC42:AC47" si="109">IF(E42="XX", "XX", 0.62198*(Y42/(J42-Y42)))</f>
        <v>XX</v>
      </c>
      <c r="AF42" s="1168">
        <f t="shared" ref="AF42:AF47" si="110">B42</f>
        <v>34</v>
      </c>
      <c r="AG42" s="19">
        <f t="shared" ref="AG42:AG47" si="111">C42</f>
        <v>0</v>
      </c>
      <c r="AH42" s="1188" t="str">
        <f t="shared" ref="AH42:AH47" si="112">D42</f>
        <v>XX</v>
      </c>
      <c r="AI42" s="19" t="str">
        <f t="shared" ref="AI42:AI47" si="113">E42</f>
        <v>XX</v>
      </c>
      <c r="AJ42" s="1100" t="str">
        <f t="shared" ref="AJ42:AJ47" si="114">F42</f>
        <v>XX</v>
      </c>
      <c r="AK42" s="1146">
        <f t="shared" ref="AK42:AK47" si="115">IF( (AG42&gt;0),1, 0)</f>
        <v>0</v>
      </c>
      <c r="AL42" s="97" t="str">
        <f t="shared" ref="AL42:AL47" si="116" xml:space="preserve"> IF(D42="XX", "XX", E42- $D$2)</f>
        <v>XX</v>
      </c>
      <c r="AM42" s="75" t="str">
        <f t="shared" ref="AM42:AM47" si="117" xml:space="preserve"> IF(D42="XX", "XX", $AP$5 * R42 * (T42-$T$5)/$T$5 * $AR$5 * ($H$2-AL42))</f>
        <v>XX</v>
      </c>
      <c r="AN42" s="75" t="str">
        <f t="shared" ref="AN42:AN47" si="118" xml:space="preserve"> IF(D42="XX", "XX", $AT$5 * $AP$6^2 * $AT$6 * R42 * K42^2/2)</f>
        <v>XX</v>
      </c>
      <c r="AO42" s="75" t="str">
        <f t="shared" ref="AO42:AO47" si="119" xml:space="preserve"> IF(D42="XX", "XX", AM42 +AN42)</f>
        <v>XX</v>
      </c>
      <c r="AP42" s="75" t="str">
        <f xml:space="preserve"> IF(D42="XX", "XX", AO42 +$Z$41)</f>
        <v>XX</v>
      </c>
      <c r="AQ42" s="12">
        <f xml:space="preserve"> IF(D42="XX", 0, 60 * ($AC$41 * $AN$41 * (2 * ABS(AP42)/R42)^0.5))</f>
        <v>0</v>
      </c>
      <c r="AR42" s="13" t="str">
        <f t="shared" ref="AR42:AR47" si="120">IF(D42="XX", "XX", IF(AP42&lt;0, "Exfl", "Infl"))</f>
        <v>XX</v>
      </c>
      <c r="AS42" s="12">
        <f t="shared" ref="AS42:AS47" si="121" xml:space="preserve"> IF(AR42="Infl", -AQ42, AQ42)</f>
        <v>0</v>
      </c>
      <c r="AT42" s="98" t="str">
        <f>IF(D42="XX", "XX", AS42/$O$41)</f>
        <v>XX</v>
      </c>
      <c r="AU42" s="12" t="str">
        <f t="shared" ref="AU42:AU47" si="122">IF(D42="XX", "XX", AS42*1.08*(L42-$L$6))</f>
        <v>XX</v>
      </c>
      <c r="AV42" s="1047">
        <f t="shared" ref="AV42:AV47" si="123" xml:space="preserve"> IF(D42="XX", 0, AS42 * 1.08 * 3000/1000)</f>
        <v>0</v>
      </c>
    </row>
    <row r="43" spans="2:48" ht="21" customHeight="1">
      <c r="B43" s="1168">
        <f>'Input-Output'!BK38</f>
        <v>33</v>
      </c>
      <c r="C43" s="19">
        <f>'Input-Output'!BL38</f>
        <v>5</v>
      </c>
      <c r="D43" s="1188">
        <f>'Input-Output'!BM38</f>
        <v>58</v>
      </c>
      <c r="E43" s="19">
        <f>'Input-Output'!BN38</f>
        <v>1339</v>
      </c>
      <c r="F43" s="19">
        <f>'Input-Output'!BO38</f>
        <v>408.12720000000002</v>
      </c>
      <c r="G43" s="20">
        <f t="shared" si="88"/>
        <v>96.51754260605999</v>
      </c>
      <c r="H43" s="20">
        <f t="shared" si="89"/>
        <v>28.57933027142759</v>
      </c>
      <c r="I43" s="20">
        <f t="shared" si="90"/>
        <v>387.86209329526366</v>
      </c>
      <c r="J43" s="20">
        <f t="shared" si="91"/>
        <v>13.998680535081702</v>
      </c>
      <c r="K43" s="20">
        <f t="shared" si="92"/>
        <v>11.409472880061116</v>
      </c>
      <c r="L43" s="27">
        <f t="shared" si="93"/>
        <v>92.013159999999999</v>
      </c>
      <c r="M43" s="17">
        <f t="shared" si="94"/>
        <v>73.036739999999995</v>
      </c>
      <c r="N43" s="22">
        <f t="shared" si="95"/>
        <v>64.345106584500186</v>
      </c>
      <c r="O43" s="23">
        <f t="shared" si="96"/>
        <v>1.4000375725059232E-2</v>
      </c>
      <c r="P43" s="22">
        <f t="shared" si="97"/>
        <v>41.36759994268094</v>
      </c>
      <c r="Q43" s="102">
        <f t="shared" si="98"/>
        <v>14.88925214178184</v>
      </c>
      <c r="R43" s="106">
        <f t="shared" si="99"/>
        <v>6.7162540500864079E-2</v>
      </c>
      <c r="S43" s="32">
        <f t="shared" si="100"/>
        <v>37.509526196660438</v>
      </c>
      <c r="T43" s="24">
        <f t="shared" si="101"/>
        <v>551.71316000000002</v>
      </c>
      <c r="U43" s="66">
        <f t="shared" si="102"/>
        <v>532.73673999999994</v>
      </c>
      <c r="W43" s="1202">
        <f t="shared" si="103"/>
        <v>0.40307404449394635</v>
      </c>
      <c r="X43" s="21">
        <f t="shared" si="104"/>
        <v>1.8440074326063146E-2</v>
      </c>
      <c r="Y43" s="23">
        <f t="shared" si="105"/>
        <v>0.74494250281470065</v>
      </c>
      <c r="Z43" s="21">
        <f t="shared" si="106"/>
        <v>1.5210032340291439</v>
      </c>
      <c r="AA43" s="21">
        <f t="shared" si="107"/>
        <v>0.62914105064072268</v>
      </c>
      <c r="AB43" s="21">
        <f t="shared" si="108"/>
        <v>-1.1772181665119836</v>
      </c>
      <c r="AC43" s="70">
        <f t="shared" si="109"/>
        <v>3.4959144112601349E-2</v>
      </c>
      <c r="AF43" s="1168">
        <f t="shared" si="110"/>
        <v>33</v>
      </c>
      <c r="AG43" s="19">
        <f t="shared" si="111"/>
        <v>5</v>
      </c>
      <c r="AH43" s="1188">
        <f t="shared" si="112"/>
        <v>58</v>
      </c>
      <c r="AI43" s="19">
        <f t="shared" si="113"/>
        <v>1339</v>
      </c>
      <c r="AJ43" s="1100">
        <f t="shared" si="114"/>
        <v>408.12720000000002</v>
      </c>
      <c r="AK43" s="1146">
        <f t="shared" si="115"/>
        <v>1</v>
      </c>
      <c r="AL43" s="97">
        <f t="shared" si="116"/>
        <v>839</v>
      </c>
      <c r="AM43" s="75">
        <f t="shared" si="117"/>
        <v>-7.5849117662875653E-3</v>
      </c>
      <c r="AN43" s="75">
        <f t="shared" si="118"/>
        <v>5.9102380313672085E-4</v>
      </c>
      <c r="AO43" s="75">
        <f t="shared" si="119"/>
        <v>-6.9938879631508445E-3</v>
      </c>
      <c r="AP43" s="75">
        <f t="shared" ref="AP43:AP47" si="124" xml:space="preserve"> IF(D43="XX", "XX", AO43 +$Z$41)</f>
        <v>1.3006112036849156E-2</v>
      </c>
      <c r="AQ43" s="12">
        <f t="shared" ref="AQ43:AQ47" si="125" xml:space="preserve"> IF(D43="XX", 0, 60 * ($AC$41 * $AN$41 * (2 * ABS(AP43)/R43)^0.5))</f>
        <v>234.40075503721954</v>
      </c>
      <c r="AR43" s="13" t="str">
        <f t="shared" si="120"/>
        <v>Infl</v>
      </c>
      <c r="AS43" s="12">
        <f t="shared" si="121"/>
        <v>-234.40075503721954</v>
      </c>
      <c r="AT43" s="98">
        <f t="shared" ref="AT43:AT47" si="126">IF(D43="XX", "XX", AS43/$O$41)</f>
        <v>-2.4416745316377036E-2</v>
      </c>
      <c r="AU43" s="12">
        <f t="shared" si="122"/>
        <v>-4306.9293535345441</v>
      </c>
      <c r="AV43" s="1047">
        <f t="shared" si="123"/>
        <v>-759.45844632059141</v>
      </c>
    </row>
    <row r="44" spans="2:48" ht="21" customHeight="1">
      <c r="B44" s="1168">
        <f>'Input-Output'!BK39</f>
        <v>32</v>
      </c>
      <c r="C44" s="19">
        <f>'Input-Output'!BL39</f>
        <v>4</v>
      </c>
      <c r="D44" s="1188">
        <f>'Input-Output'!BM39</f>
        <v>57</v>
      </c>
      <c r="E44" s="19">
        <f>'Input-Output'!BN39</f>
        <v>1324</v>
      </c>
      <c r="F44" s="19">
        <f>'Input-Output'!BO39</f>
        <v>403.55520000000001</v>
      </c>
      <c r="G44" s="20">
        <f t="shared" si="88"/>
        <v>96.570354815329651</v>
      </c>
      <c r="H44" s="20">
        <f t="shared" si="89"/>
        <v>28.59496823246895</v>
      </c>
      <c r="I44" s="20">
        <f t="shared" si="90"/>
        <v>388.07432263187746</v>
      </c>
      <c r="J44" s="20">
        <f t="shared" si="91"/>
        <v>14.006340295431542</v>
      </c>
      <c r="K44" s="20">
        <f t="shared" si="92"/>
        <v>11.294881588999235</v>
      </c>
      <c r="L44" s="27">
        <f t="shared" si="93"/>
        <v>92.066559999999996</v>
      </c>
      <c r="M44" s="17">
        <f t="shared" si="94"/>
        <v>73.071839999999995</v>
      </c>
      <c r="N44" s="22">
        <f t="shared" si="95"/>
        <v>64.375945946830711</v>
      </c>
      <c r="O44" s="23">
        <f t="shared" si="96"/>
        <v>1.4008009869702957E-2</v>
      </c>
      <c r="P44" s="22">
        <f t="shared" si="97"/>
        <v>41.343590888365739</v>
      </c>
      <c r="Q44" s="102">
        <f t="shared" si="98"/>
        <v>14.882728520046715</v>
      </c>
      <c r="R44" s="106">
        <f t="shared" si="99"/>
        <v>6.7191980197248202E-2</v>
      </c>
      <c r="S44" s="32">
        <f t="shared" si="100"/>
        <v>37.531086032585257</v>
      </c>
      <c r="T44" s="24">
        <f t="shared" si="101"/>
        <v>551.76656000000003</v>
      </c>
      <c r="U44" s="66">
        <f t="shared" si="102"/>
        <v>532.77184</v>
      </c>
      <c r="W44" s="1202">
        <f t="shared" si="103"/>
        <v>0.40355073946760239</v>
      </c>
      <c r="X44" s="21">
        <f t="shared" si="104"/>
        <v>1.8452133505514091E-2</v>
      </c>
      <c r="Y44" s="23">
        <f t="shared" si="105"/>
        <v>0.74618066286978657</v>
      </c>
      <c r="Z44" s="21">
        <f t="shared" si="106"/>
        <v>1.5235312753758461</v>
      </c>
      <c r="AA44" s="21">
        <f t="shared" si="107"/>
        <v>0.62982098877356407</v>
      </c>
      <c r="AB44" s="21">
        <f t="shared" si="108"/>
        <v>-1.1761380097198586</v>
      </c>
      <c r="AC44" s="70">
        <f t="shared" si="109"/>
        <v>3.5000291214600382E-2</v>
      </c>
      <c r="AF44" s="1168">
        <f t="shared" si="110"/>
        <v>32</v>
      </c>
      <c r="AG44" s="19">
        <f t="shared" si="111"/>
        <v>4</v>
      </c>
      <c r="AH44" s="1188">
        <f t="shared" si="112"/>
        <v>57</v>
      </c>
      <c r="AI44" s="19">
        <f t="shared" si="113"/>
        <v>1324</v>
      </c>
      <c r="AJ44" s="1100">
        <f t="shared" si="114"/>
        <v>403.55520000000001</v>
      </c>
      <c r="AK44" s="1146">
        <f t="shared" si="115"/>
        <v>1</v>
      </c>
      <c r="AL44" s="97">
        <f t="shared" si="116"/>
        <v>824</v>
      </c>
      <c r="AM44" s="75">
        <f t="shared" si="117"/>
        <v>-6.9931878683747572E-3</v>
      </c>
      <c r="AN44" s="75">
        <f t="shared" si="118"/>
        <v>5.7946538874150408E-4</v>
      </c>
      <c r="AO44" s="75">
        <f t="shared" si="119"/>
        <v>-6.4137224796332534E-3</v>
      </c>
      <c r="AP44" s="75">
        <f t="shared" si="124"/>
        <v>1.3586277520366747E-2</v>
      </c>
      <c r="AQ44" s="12">
        <f t="shared" si="125"/>
        <v>239.51920373773248</v>
      </c>
      <c r="AR44" s="13" t="str">
        <f t="shared" si="120"/>
        <v>Infl</v>
      </c>
      <c r="AS44" s="12">
        <f t="shared" si="121"/>
        <v>-239.51920373773248</v>
      </c>
      <c r="AT44" s="98">
        <f t="shared" si="126"/>
        <v>-2.49499170560138E-2</v>
      </c>
      <c r="AU44" s="12">
        <f t="shared" si="122"/>
        <v>-4414.7903706816141</v>
      </c>
      <c r="AV44" s="1047">
        <f t="shared" si="123"/>
        <v>-776.04222011025331</v>
      </c>
    </row>
    <row r="45" spans="2:48" ht="21" customHeight="1">
      <c r="B45" s="1168">
        <f>'Input-Output'!BK40</f>
        <v>31</v>
      </c>
      <c r="C45" s="19">
        <f>'Input-Output'!BL40</f>
        <v>3</v>
      </c>
      <c r="D45" s="1188">
        <f>'Input-Output'!BM40</f>
        <v>56</v>
      </c>
      <c r="E45" s="19">
        <f>'Input-Output'!BN40</f>
        <v>1309</v>
      </c>
      <c r="F45" s="19">
        <f>'Input-Output'!BO40</f>
        <v>398.98320000000001</v>
      </c>
      <c r="G45" s="20">
        <f t="shared" si="88"/>
        <v>96.623190421253597</v>
      </c>
      <c r="H45" s="20">
        <f t="shared" si="89"/>
        <v>28.610613121377433</v>
      </c>
      <c r="I45" s="20">
        <f t="shared" si="90"/>
        <v>388.28664598948541</v>
      </c>
      <c r="J45" s="20">
        <f t="shared" si="91"/>
        <v>14.014003449177856</v>
      </c>
      <c r="K45" s="20">
        <f t="shared" si="92"/>
        <v>11.180290297937358</v>
      </c>
      <c r="L45" s="27">
        <f t="shared" si="93"/>
        <v>92.119960000000006</v>
      </c>
      <c r="M45" s="17">
        <f t="shared" si="94"/>
        <v>73.106939999999994</v>
      </c>
      <c r="N45" s="22">
        <f t="shared" si="95"/>
        <v>64.406790569863006</v>
      </c>
      <c r="O45" s="23">
        <f t="shared" si="96"/>
        <v>1.4015649528086567E-2</v>
      </c>
      <c r="P45" s="22">
        <f t="shared" si="97"/>
        <v>41.319612155059282</v>
      </c>
      <c r="Q45" s="102">
        <f t="shared" si="98"/>
        <v>14.87620859102018</v>
      </c>
      <c r="R45" s="106">
        <f t="shared" si="99"/>
        <v>6.7221429027530324E-2</v>
      </c>
      <c r="S45" s="32">
        <f t="shared" si="100"/>
        <v>37.552652306112051</v>
      </c>
      <c r="T45" s="24">
        <f t="shared" si="101"/>
        <v>551.81996000000004</v>
      </c>
      <c r="U45" s="66">
        <f t="shared" si="102"/>
        <v>532.80693999999994</v>
      </c>
      <c r="W45" s="1202">
        <f t="shared" si="103"/>
        <v>0.40402792688391653</v>
      </c>
      <c r="X45" s="21">
        <f t="shared" si="104"/>
        <v>1.8464198524943611E-2</v>
      </c>
      <c r="Y45" s="23">
        <f t="shared" si="105"/>
        <v>0.747420607563415</v>
      </c>
      <c r="Z45" s="21">
        <f t="shared" si="106"/>
        <v>1.5260629605487288</v>
      </c>
      <c r="AA45" s="21">
        <f t="shared" si="107"/>
        <v>0.63050168124647277</v>
      </c>
      <c r="AB45" s="21">
        <f t="shared" si="108"/>
        <v>-1.1750578219944656</v>
      </c>
      <c r="AC45" s="70">
        <f t="shared" si="109"/>
        <v>3.5041477902965433E-2</v>
      </c>
      <c r="AF45" s="1168">
        <f t="shared" si="110"/>
        <v>31</v>
      </c>
      <c r="AG45" s="19">
        <f t="shared" si="111"/>
        <v>3</v>
      </c>
      <c r="AH45" s="1188">
        <f t="shared" si="112"/>
        <v>56</v>
      </c>
      <c r="AI45" s="19">
        <f t="shared" si="113"/>
        <v>1309</v>
      </c>
      <c r="AJ45" s="1100">
        <f t="shared" si="114"/>
        <v>398.98320000000001</v>
      </c>
      <c r="AK45" s="1146">
        <f t="shared" si="115"/>
        <v>1</v>
      </c>
      <c r="AL45" s="97">
        <f t="shared" si="116"/>
        <v>809</v>
      </c>
      <c r="AM45" s="75">
        <f t="shared" si="117"/>
        <v>-6.3970689373171255E-3</v>
      </c>
      <c r="AN45" s="75">
        <f t="shared" si="118"/>
        <v>5.680160364637918E-4</v>
      </c>
      <c r="AO45" s="75">
        <f t="shared" si="119"/>
        <v>-5.8290529008533341E-3</v>
      </c>
      <c r="AP45" s="75">
        <f t="shared" si="124"/>
        <v>1.4170947099146666E-2</v>
      </c>
      <c r="AQ45" s="12">
        <f t="shared" si="125"/>
        <v>244.56504614682063</v>
      </c>
      <c r="AR45" s="13" t="str">
        <f t="shared" si="120"/>
        <v>Infl</v>
      </c>
      <c r="AS45" s="12">
        <f t="shared" si="121"/>
        <v>-244.56504614682063</v>
      </c>
      <c r="AT45" s="98">
        <f t="shared" si="126"/>
        <v>-2.5475525640293817E-2</v>
      </c>
      <c r="AU45" s="12">
        <f t="shared" si="122"/>
        <v>-4521.8993120262639</v>
      </c>
      <c r="AV45" s="1047">
        <f t="shared" si="123"/>
        <v>-792.39074951569899</v>
      </c>
    </row>
    <row r="46" spans="2:48" ht="21" customHeight="1">
      <c r="B46" s="1168">
        <f>'Input-Output'!BK41</f>
        <v>30</v>
      </c>
      <c r="C46" s="19">
        <f>'Input-Output'!BL41</f>
        <v>2</v>
      </c>
      <c r="D46" s="1188">
        <f>'Input-Output'!BM41</f>
        <v>55</v>
      </c>
      <c r="E46" s="19">
        <f>'Input-Output'!BN41</f>
        <v>1294</v>
      </c>
      <c r="F46" s="19">
        <f>'Input-Output'!BO41</f>
        <v>394.41120000000001</v>
      </c>
      <c r="G46" s="20">
        <f t="shared" si="88"/>
        <v>96.676049431760461</v>
      </c>
      <c r="H46" s="20">
        <f t="shared" si="89"/>
        <v>28.626264940500743</v>
      </c>
      <c r="I46" s="20">
        <f t="shared" si="90"/>
        <v>388.49906339994919</v>
      </c>
      <c r="J46" s="20">
        <f t="shared" si="91"/>
        <v>14.0216699974706</v>
      </c>
      <c r="K46" s="20">
        <f t="shared" si="92"/>
        <v>11.065699006875477</v>
      </c>
      <c r="L46" s="27">
        <f t="shared" si="93"/>
        <v>92.173360000000002</v>
      </c>
      <c r="M46" s="17">
        <f t="shared" si="94"/>
        <v>73.142039999999994</v>
      </c>
      <c r="N46" s="22">
        <f t="shared" si="95"/>
        <v>64.437640450647848</v>
      </c>
      <c r="O46" s="23">
        <f t="shared" si="96"/>
        <v>1.4023294701693268E-2</v>
      </c>
      <c r="P46" s="22">
        <f t="shared" si="97"/>
        <v>41.295663693097822</v>
      </c>
      <c r="Q46" s="102">
        <f t="shared" si="98"/>
        <v>14.869692352234084</v>
      </c>
      <c r="R46" s="106">
        <f t="shared" si="99"/>
        <v>6.7250886992948164E-2</v>
      </c>
      <c r="S46" s="32">
        <f t="shared" si="100"/>
        <v>37.574225019267374</v>
      </c>
      <c r="T46" s="24">
        <f t="shared" si="101"/>
        <v>551.87336000000005</v>
      </c>
      <c r="U46" s="66">
        <f t="shared" si="102"/>
        <v>532.84204</v>
      </c>
      <c r="W46" s="1202">
        <f t="shared" si="103"/>
        <v>0.40450560717147382</v>
      </c>
      <c r="X46" s="21">
        <f t="shared" si="104"/>
        <v>1.8476269385992668E-2</v>
      </c>
      <c r="Y46" s="23">
        <f t="shared" si="105"/>
        <v>0.74866233903784329</v>
      </c>
      <c r="Z46" s="21">
        <f t="shared" si="106"/>
        <v>1.5285982939217946</v>
      </c>
      <c r="AA46" s="21">
        <f t="shared" si="107"/>
        <v>0.6311831287881583</v>
      </c>
      <c r="AB46" s="21">
        <f t="shared" si="108"/>
        <v>-1.1739776035396989</v>
      </c>
      <c r="AC46" s="70">
        <f t="shared" si="109"/>
        <v>3.5082704208259374E-2</v>
      </c>
      <c r="AF46" s="1168">
        <f t="shared" si="110"/>
        <v>30</v>
      </c>
      <c r="AG46" s="19">
        <f t="shared" si="111"/>
        <v>2</v>
      </c>
      <c r="AH46" s="1188">
        <f t="shared" si="112"/>
        <v>55</v>
      </c>
      <c r="AI46" s="19">
        <f t="shared" si="113"/>
        <v>1294</v>
      </c>
      <c r="AJ46" s="1100">
        <f t="shared" si="114"/>
        <v>394.41120000000001</v>
      </c>
      <c r="AK46" s="1146">
        <f t="shared" si="115"/>
        <v>1</v>
      </c>
      <c r="AL46" s="97">
        <f t="shared" si="116"/>
        <v>794</v>
      </c>
      <c r="AM46" s="75">
        <f t="shared" si="117"/>
        <v>-5.7965496369097678E-3</v>
      </c>
      <c r="AN46" s="75">
        <f t="shared" si="118"/>
        <v>5.5667589838763877E-4</v>
      </c>
      <c r="AO46" s="75">
        <f t="shared" si="119"/>
        <v>-5.2398737385221288E-3</v>
      </c>
      <c r="AP46" s="75">
        <f t="shared" si="124"/>
        <v>1.4760126261477872E-2</v>
      </c>
      <c r="AQ46" s="12">
        <f t="shared" si="125"/>
        <v>249.54268665086221</v>
      </c>
      <c r="AR46" s="13" t="str">
        <f t="shared" si="120"/>
        <v>Infl</v>
      </c>
      <c r="AS46" s="12">
        <f t="shared" si="121"/>
        <v>-249.54268665086221</v>
      </c>
      <c r="AT46" s="98">
        <f t="shared" si="126"/>
        <v>-2.5994029859464814E-2</v>
      </c>
      <c r="AU46" s="12">
        <f t="shared" si="122"/>
        <v>-4628.3253046802483</v>
      </c>
      <c r="AV46" s="1047">
        <f t="shared" si="123"/>
        <v>-808.51830474879364</v>
      </c>
    </row>
    <row r="47" spans="2:48" ht="21" customHeight="1" thickBot="1">
      <c r="B47" s="1168">
        <f>'Input-Output'!BK42</f>
        <v>29</v>
      </c>
      <c r="C47" s="19">
        <f>'Input-Output'!BL42</f>
        <v>1</v>
      </c>
      <c r="D47" s="1188">
        <f>'Input-Output'!BM42</f>
        <v>54</v>
      </c>
      <c r="E47" s="19">
        <f>'Input-Output'!BN42</f>
        <v>1279</v>
      </c>
      <c r="F47" s="19">
        <f>'Input-Output'!BO42</f>
        <v>389.83920000000001</v>
      </c>
      <c r="G47" s="20">
        <f t="shared" si="88"/>
        <v>96.728931854780527</v>
      </c>
      <c r="H47" s="20">
        <f t="shared" si="89"/>
        <v>28.641923692187081</v>
      </c>
      <c r="I47" s="20">
        <f t="shared" si="90"/>
        <v>388.71157489513723</v>
      </c>
      <c r="J47" s="20">
        <f t="shared" si="91"/>
        <v>14.029339941459957</v>
      </c>
      <c r="K47" s="20">
        <f t="shared" si="92"/>
        <v>10.951107715813599</v>
      </c>
      <c r="L47" s="27">
        <f t="shared" si="93"/>
        <v>92.226759999999999</v>
      </c>
      <c r="M47" s="17">
        <f t="shared" si="94"/>
        <v>73.177139999999994</v>
      </c>
      <c r="N47" s="22">
        <f t="shared" si="95"/>
        <v>64.468495586241872</v>
      </c>
      <c r="O47" s="23">
        <f t="shared" si="96"/>
        <v>1.4030945392006144E-2</v>
      </c>
      <c r="P47" s="22">
        <f t="shared" si="97"/>
        <v>41.271745452910686</v>
      </c>
      <c r="Q47" s="102">
        <f t="shared" si="98"/>
        <v>14.863179801222188</v>
      </c>
      <c r="R47" s="106">
        <f t="shared" si="99"/>
        <v>6.7280354094738912E-2</v>
      </c>
      <c r="S47" s="32">
        <f t="shared" si="100"/>
        <v>37.595804174077813</v>
      </c>
      <c r="T47" s="24">
        <f t="shared" si="101"/>
        <v>551.92675999999994</v>
      </c>
      <c r="U47" s="66">
        <f t="shared" si="102"/>
        <v>532.87713999999994</v>
      </c>
      <c r="W47" s="1202">
        <f t="shared" si="103"/>
        <v>0.40498378075915215</v>
      </c>
      <c r="X47" s="21">
        <f t="shared" si="104"/>
        <v>1.8488346090302202E-2</v>
      </c>
      <c r="Y47" s="23">
        <f t="shared" si="105"/>
        <v>0.74990585943736809</v>
      </c>
      <c r="Z47" s="21">
        <f t="shared" si="106"/>
        <v>1.5311372798732095</v>
      </c>
      <c r="AA47" s="21">
        <f t="shared" si="107"/>
        <v>0.63186533212787543</v>
      </c>
      <c r="AB47" s="21">
        <f t="shared" si="108"/>
        <v>-1.1728973545592869</v>
      </c>
      <c r="AC47" s="70">
        <f t="shared" si="109"/>
        <v>3.5123970161069752E-2</v>
      </c>
      <c r="AF47" s="1168">
        <f t="shared" si="110"/>
        <v>29</v>
      </c>
      <c r="AG47" s="19">
        <f t="shared" si="111"/>
        <v>1</v>
      </c>
      <c r="AH47" s="1188">
        <f t="shared" si="112"/>
        <v>54</v>
      </c>
      <c r="AI47" s="19">
        <f t="shared" si="113"/>
        <v>1279</v>
      </c>
      <c r="AJ47" s="1100">
        <f t="shared" si="114"/>
        <v>389.83920000000001</v>
      </c>
      <c r="AK47" s="1146">
        <f t="shared" si="115"/>
        <v>1</v>
      </c>
      <c r="AL47" s="97">
        <f t="shared" si="116"/>
        <v>779</v>
      </c>
      <c r="AM47" s="75">
        <f t="shared" si="117"/>
        <v>-5.1916246277442729E-3</v>
      </c>
      <c r="AN47" s="75">
        <f t="shared" si="118"/>
        <v>5.4544512669354713E-4</v>
      </c>
      <c r="AO47" s="75">
        <f t="shared" si="119"/>
        <v>-4.6461795010507255E-3</v>
      </c>
      <c r="AP47" s="75">
        <f t="shared" si="124"/>
        <v>1.5353820498949275E-2</v>
      </c>
      <c r="AQ47" s="12">
        <f t="shared" si="125"/>
        <v>254.45612772649929</v>
      </c>
      <c r="AR47" s="13" t="str">
        <f t="shared" si="120"/>
        <v>Infl</v>
      </c>
      <c r="AS47" s="12">
        <f t="shared" si="121"/>
        <v>-254.45612772649929</v>
      </c>
      <c r="AT47" s="98">
        <f t="shared" si="126"/>
        <v>-2.6505846638177011E-2</v>
      </c>
      <c r="AU47" s="12">
        <f t="shared" si="122"/>
        <v>-4734.131014303649</v>
      </c>
      <c r="AV47" s="1047">
        <f t="shared" si="123"/>
        <v>-824.43785383385784</v>
      </c>
    </row>
    <row r="48" spans="2:48" ht="21" customHeight="1">
      <c r="B48" s="1179" t="str">
        <f>'Input-Output'!BK43</f>
        <v>Section &gt;&gt;</v>
      </c>
      <c r="C48" s="1079"/>
      <c r="D48" s="1080" t="str">
        <f>'Input-Output'!BM43</f>
        <v>4-Ofc</v>
      </c>
      <c r="E48" s="1079" t="s">
        <v>873</v>
      </c>
      <c r="F48" s="1081">
        <f>'Input-Output'!BO43</f>
        <v>41</v>
      </c>
      <c r="G48" s="1082" t="s">
        <v>867</v>
      </c>
      <c r="H48" s="1083"/>
      <c r="I48" s="1081">
        <f>'Input-Output'!BE44</f>
        <v>560</v>
      </c>
      <c r="J48" s="1083" t="s">
        <v>874</v>
      </c>
      <c r="K48" s="1084">
        <f>'Input-Output'!BE46</f>
        <v>720</v>
      </c>
      <c r="L48" s="1073" t="s">
        <v>885</v>
      </c>
      <c r="M48" s="1085"/>
      <c r="N48" s="1086"/>
      <c r="O48" s="1081">
        <f>'Input-Output'!BE47</f>
        <v>9720</v>
      </c>
      <c r="P48" s="1087" t="s">
        <v>869</v>
      </c>
      <c r="Q48" s="1088"/>
      <c r="R48" s="1093">
        <f>'Input-Output'!BE45</f>
        <v>1262800</v>
      </c>
      <c r="S48" s="1087" t="s">
        <v>868</v>
      </c>
      <c r="T48" s="1089"/>
      <c r="U48" s="1090">
        <f>'Input-Output'!BE50</f>
        <v>65</v>
      </c>
      <c r="W48" s="1111" t="s">
        <v>103</v>
      </c>
      <c r="X48" s="1112"/>
      <c r="Y48" s="1112"/>
      <c r="Z48" s="1113">
        <f>'Input-Output'!BE32</f>
        <v>2.5000000000000001E-2</v>
      </c>
      <c r="AA48" s="35" t="s">
        <v>102</v>
      </c>
      <c r="AB48" s="10"/>
      <c r="AC48" s="1057">
        <f>'Input-Output'!BE31</f>
        <v>0.65</v>
      </c>
      <c r="AF48" s="1166" t="str">
        <f>B48</f>
        <v>Section &gt;&gt;</v>
      </c>
      <c r="AG48" s="1104"/>
      <c r="AH48" s="1105" t="str">
        <f>D48</f>
        <v>4-Ofc</v>
      </c>
      <c r="AI48" s="1104" t="str">
        <f>E48</f>
        <v>Flrs/S</v>
      </c>
      <c r="AJ48" s="1106">
        <f>F48</f>
        <v>41</v>
      </c>
      <c r="AK48" s="1207">
        <f>SUM(AK49:AK63)</f>
        <v>15</v>
      </c>
      <c r="AL48" s="1114" t="s">
        <v>112</v>
      </c>
      <c r="AM48" s="1115"/>
      <c r="AN48" s="1116">
        <f>'Input-Output'!BE55</f>
        <v>7.8440400000000006</v>
      </c>
      <c r="AO48" s="1114" t="s">
        <v>882</v>
      </c>
      <c r="AP48" s="1117"/>
      <c r="AQ48" s="1118"/>
      <c r="AR48" s="1080">
        <f xml:space="preserve"> (SUM(AQ49:AQ63)/AK48) * AJ48</f>
        <v>12107.53193810769</v>
      </c>
      <c r="AS48" s="1114" t="s">
        <v>884</v>
      </c>
      <c r="AT48" s="1117"/>
      <c r="AU48" s="1118"/>
      <c r="AV48" s="1148">
        <f xml:space="preserve"> (SUM(AV49:AV63)/AK48) * AJ48</f>
        <v>-39228.403479468914</v>
      </c>
    </row>
    <row r="49" spans="2:48" ht="21" customHeight="1">
      <c r="B49" s="1168">
        <f>'Input-Output'!BK44</f>
        <v>28</v>
      </c>
      <c r="C49" s="19">
        <f>'Input-Output'!BL44</f>
        <v>41</v>
      </c>
      <c r="D49" s="1188">
        <f>'Input-Output'!BM44</f>
        <v>53</v>
      </c>
      <c r="E49" s="19">
        <f>'Input-Output'!BN44</f>
        <v>1257.5</v>
      </c>
      <c r="F49" s="19">
        <f>'Input-Output'!BO44</f>
        <v>383.286</v>
      </c>
      <c r="G49" s="20">
        <f t="shared" ref="G49:G65" si="127">IF(E49="XX","XX",((101325*(1-2.25577*(10^(-5))*F49)^5.2555)/1000))</f>
        <v>96.804770839095966</v>
      </c>
      <c r="H49" s="20">
        <f t="shared" ref="H49:H65" si="128" xml:space="preserve"> IF(E49="XX", "XX", G49*$AJ$5)</f>
        <v>28.664379997244982</v>
      </c>
      <c r="I49" s="20">
        <f t="shared" ref="I49:I65" si="129">IF(E49="XX", "XX", G49*$AL$5)</f>
        <v>389.01633884183269</v>
      </c>
      <c r="J49" s="20">
        <f t="shared" ref="J49:J65" si="130" xml:space="preserve"> IF(E49="XX", "XX",G49*$AN$5)</f>
        <v>14.040339451858497</v>
      </c>
      <c r="K49" s="20">
        <f t="shared" ref="K49:K65" si="131" xml:space="preserve"> IF(E49="XX", "XX", ( $K$79 + $U$2 * (E49-$D$2)/$F$2 ) )</f>
        <v>10.786860198624904</v>
      </c>
      <c r="L49" s="27">
        <f t="shared" ref="L49:L65" si="132" xml:space="preserve"> IF(E49="XX", "XX", $L$79 - $AA$2*(E49-$E$79))</f>
        <v>92.303300000000007</v>
      </c>
      <c r="M49" s="17">
        <f t="shared" ref="M49:M65" si="133">IF(E49="XX","XX ", $M$79-$AC$2*(E49-$E$79))</f>
        <v>73.227450000000005</v>
      </c>
      <c r="N49" s="22">
        <f t="shared" ref="N49:N65" si="134">IF(E49="XX","XX",100.45+33.193*AB49+2.319*AB49^2+0.17074*AB49^3+1.2063*(AA49*0.4897705)^3)</f>
        <v>64.512730438535613</v>
      </c>
      <c r="O49" s="23">
        <f t="shared" ref="O49:O65" si="135">IF(E49="XX","XX ",((1093-0.556*M49)*X49-0.24*(L49-M49))/(1093+0.444*L49-M49))</f>
        <v>1.4041921004937121E-2</v>
      </c>
      <c r="P49" s="22">
        <f t="shared" ref="P49:P65" si="136" xml:space="preserve"> IF(E49="XX", "XX", ((O49/AC49)/(1-(1-(O49/AC49))*(Y49/J49)))*100)</f>
        <v>41.2375152466795</v>
      </c>
      <c r="Q49" s="102">
        <f t="shared" ref="Q49:Q65" si="137" xml:space="preserve"> IF(E49="XX", "XX", 0.7543*(T49*(1+1.6078*O49))/H49)</f>
        <v>14.853851570922345</v>
      </c>
      <c r="R49" s="106">
        <f t="shared" ref="R49:R65" si="138" xml:space="preserve"> IF(E49="XX", "XX", 1/Q49)</f>
        <v>6.7322606209259797E-2</v>
      </c>
      <c r="S49" s="32">
        <f t="shared" ref="S49:S65" si="139">IF(E49="XX", "XX", 0.24*L49+O49*(1061+0.444*L49))</f>
        <v>37.626745533548473</v>
      </c>
      <c r="T49" s="24">
        <f t="shared" ref="T49:T65" si="140">IF(E49="XX", "XX", L49+459.7)</f>
        <v>552.00329999999997</v>
      </c>
      <c r="U49" s="66">
        <f t="shared" ref="U49:U65" si="141">IF(E49="XX", "XX", M49+459.7)</f>
        <v>532.92745000000002</v>
      </c>
      <c r="W49" s="1202">
        <f t="shared" ref="W49:W65" si="142" xml:space="preserve"> IF(E49="XX", "XX", EXP((-10440.397/U49)+(-11.29465) + (-0.027022355*U49) + (0.00001289036*U49*U49) + (-0.0000000024780681*U49^3)+(6.5459673*LN(U49))) )</f>
        <v>0.40567002401869501</v>
      </c>
      <c r="X49" s="21">
        <f t="shared" ref="X49:X65" si="143">IF(E49="XX", "XX", 0.62198*W49/(J49-W49))</f>
        <v>1.8505666226417916E-2</v>
      </c>
      <c r="Y49" s="23">
        <f t="shared" ref="Y49:Y65" si="144" xml:space="preserve"> IF(E49="XX", "XX", EXP((-10440.397/T49)+(-11.29465) + (-0.027022355*T49) + (0.00001289036*T49*T49) + (-0.0000000024780681*T49^3)+(6.5459673*LN(T49))) )</f>
        <v>0.75169136264711522</v>
      </c>
      <c r="Z49" s="21">
        <f t="shared" ref="Z49:Z65" si="145">IF(E49="XX", "XX", Y49*2.041772658 )</f>
        <v>1.5347828715076426</v>
      </c>
      <c r="AA49" s="21">
        <f t="shared" ref="AA49:AA65" si="146">IF(E49="XX", "XX", (H49*O49)/(0.62198+O49))</f>
        <v>0.63284447639924868</v>
      </c>
      <c r="AB49" s="21">
        <f t="shared" ref="AB49:AB65" si="147">IF(E49="XX", "XX", LN(AA49*0.4897705))</f>
        <v>-1.1713489448602361</v>
      </c>
      <c r="AC49" s="70">
        <f t="shared" ref="AC49:AC65" si="148">IF(E49="XX", "XX", 0.62198*(Y49/(J49-Y49)))</f>
        <v>3.5183187228716717E-2</v>
      </c>
      <c r="AF49" s="1168">
        <f t="shared" ref="AF49:AF65" si="149">B49</f>
        <v>28</v>
      </c>
      <c r="AG49" s="19">
        <f t="shared" ref="AG49:AG65" si="150">C49</f>
        <v>41</v>
      </c>
      <c r="AH49" s="1188">
        <f t="shared" ref="AH49:AH65" si="151">D49</f>
        <v>53</v>
      </c>
      <c r="AI49" s="19">
        <f t="shared" ref="AI49:AI65" si="152">E49</f>
        <v>1257.5</v>
      </c>
      <c r="AJ49" s="1100">
        <f t="shared" ref="AJ49:AJ65" si="153">F49</f>
        <v>383.286</v>
      </c>
      <c r="AK49" s="1146">
        <f t="shared" ref="AK49:AK65" si="154">IF( (AG49&gt;0),1, 0)</f>
        <v>1</v>
      </c>
      <c r="AL49" s="97">
        <f t="shared" ref="AL49:AL65" si="155" xml:space="preserve"> IF(D49="XX", "XX", E49- $D$2)</f>
        <v>757.5</v>
      </c>
      <c r="AM49" s="75">
        <f t="shared" ref="AM49:AM65" si="156" xml:space="preserve"> IF(D49="XX", "XX", $AP$5 * R49 * (T49-$T$5)/$T$5 * $AR$5 * ($H$2-AL49))</f>
        <v>-4.3168717179962969E-3</v>
      </c>
      <c r="AN49" s="75">
        <f t="shared" ref="AN49:AN65" si="157" xml:space="preserve"> IF(D49="XX", "XX", $AT$5 * $AP$6^2 * $AT$6 * R49 * K49^2/2)</f>
        <v>5.2953871401663843E-4</v>
      </c>
      <c r="AO49" s="75">
        <f t="shared" ref="AO49:AO65" si="158" xml:space="preserve"> IF(D49="XX", "XX", AM49 +AN49)</f>
        <v>-3.7873330039796585E-3</v>
      </c>
      <c r="AP49" s="75">
        <f xml:space="preserve"> IF(D49="XX", "XX", AO49 +$Z$48)</f>
        <v>2.1212666996020344E-2</v>
      </c>
      <c r="AQ49" s="12">
        <f xml:space="preserve"> IF(D49="XX", 0, 60 * ($AC$48 * $AN$48 * (2 * ABS(AP49)/R49)^0.5))</f>
        <v>242.84914656551118</v>
      </c>
      <c r="AR49" s="13" t="str">
        <f t="shared" ref="AR49:AR65" si="159">IF(D49="XX", "XX", IF(AP49&lt;0, "Exfl", "Infl"))</f>
        <v>Infl</v>
      </c>
      <c r="AS49" s="12">
        <f t="shared" ref="AS49:AS65" si="160" xml:space="preserve"> IF(AR49="Infl", -AQ49, AQ49)</f>
        <v>-242.84914656551118</v>
      </c>
      <c r="AT49" s="98">
        <f>IF(D49="XX", "XX", AS49/$O$48)</f>
        <v>-2.4984480099332424E-2</v>
      </c>
      <c r="AU49" s="12">
        <f t="shared" ref="AU49:AU65" si="161">IF(D49="XX", "XX", AS49*1.08*(L49-$L$6))</f>
        <v>-4538.2589687883728</v>
      </c>
      <c r="AV49" s="1047">
        <f t="shared" ref="AV49:AV65" si="162" xml:space="preserve"> IF(D49="XX", 0, AS49 * 1.08 * 3000/1000)</f>
        <v>-786.83123487225635</v>
      </c>
    </row>
    <row r="50" spans="2:48" ht="21" customHeight="1">
      <c r="B50" s="1168">
        <f>'Input-Output'!BK45</f>
        <v>27</v>
      </c>
      <c r="C50" s="19">
        <f>'Input-Output'!BL45</f>
        <v>39</v>
      </c>
      <c r="D50" s="1188">
        <f>'Input-Output'!BM45</f>
        <v>51</v>
      </c>
      <c r="E50" s="19">
        <f>'Input-Output'!BN45</f>
        <v>1230.5</v>
      </c>
      <c r="F50" s="19">
        <f>'Input-Output'!BO45</f>
        <v>375.0564</v>
      </c>
      <c r="G50" s="20">
        <f t="shared" si="127"/>
        <v>96.900078683232735</v>
      </c>
      <c r="H50" s="20">
        <f t="shared" si="128"/>
        <v>28.692601129709573</v>
      </c>
      <c r="I50" s="20">
        <f t="shared" si="129"/>
        <v>389.39933968226256</v>
      </c>
      <c r="J50" s="20">
        <f t="shared" si="130"/>
        <v>14.054162680533139</v>
      </c>
      <c r="K50" s="20">
        <f t="shared" si="131"/>
        <v>10.580595874713522</v>
      </c>
      <c r="L50" s="27">
        <f t="shared" si="132"/>
        <v>92.399420000000006</v>
      </c>
      <c r="M50" s="17">
        <f t="shared" si="133"/>
        <v>73.290629999999993</v>
      </c>
      <c r="N50" s="22">
        <f t="shared" si="134"/>
        <v>64.568296452963395</v>
      </c>
      <c r="O50" s="23">
        <f t="shared" si="135"/>
        <v>1.405572039744736E-2</v>
      </c>
      <c r="P50" s="22">
        <f t="shared" si="136"/>
        <v>41.194616054112224</v>
      </c>
      <c r="Q50" s="102">
        <f t="shared" si="137"/>
        <v>14.842147762258476</v>
      </c>
      <c r="R50" s="106">
        <f t="shared" si="138"/>
        <v>6.7375693600279424E-2</v>
      </c>
      <c r="S50" s="32">
        <f t="shared" si="139"/>
        <v>37.665620884800049</v>
      </c>
      <c r="T50" s="24">
        <f t="shared" si="140"/>
        <v>552.09942000000001</v>
      </c>
      <c r="U50" s="66">
        <f t="shared" si="141"/>
        <v>532.99063000000001</v>
      </c>
      <c r="W50" s="1202">
        <f t="shared" si="142"/>
        <v>0.40653325657631018</v>
      </c>
      <c r="X50" s="21">
        <f t="shared" si="143"/>
        <v>1.8527434111119314E-2</v>
      </c>
      <c r="Y50" s="23">
        <f t="shared" si="144"/>
        <v>0.75393884423709023</v>
      </c>
      <c r="Z50" s="21">
        <f t="shared" si="145"/>
        <v>1.5393717179674118</v>
      </c>
      <c r="AA50" s="21">
        <f t="shared" si="146"/>
        <v>0.63407630424069272</v>
      </c>
      <c r="AB50" s="21">
        <f t="shared" si="147"/>
        <v>-1.1694043430375409</v>
      </c>
      <c r="AC50" s="70">
        <f t="shared" si="148"/>
        <v>3.5257668450576853E-2</v>
      </c>
      <c r="AF50" s="1168">
        <f t="shared" si="149"/>
        <v>27</v>
      </c>
      <c r="AG50" s="19">
        <f t="shared" si="150"/>
        <v>39</v>
      </c>
      <c r="AH50" s="1188">
        <f t="shared" si="151"/>
        <v>51</v>
      </c>
      <c r="AI50" s="19">
        <f t="shared" si="152"/>
        <v>1230.5</v>
      </c>
      <c r="AJ50" s="1100">
        <f t="shared" si="153"/>
        <v>375.0564</v>
      </c>
      <c r="AK50" s="1146">
        <f t="shared" si="154"/>
        <v>1</v>
      </c>
      <c r="AL50" s="97">
        <f t="shared" si="155"/>
        <v>730.5</v>
      </c>
      <c r="AM50" s="75">
        <f t="shared" si="156"/>
        <v>-3.2054844445646982E-3</v>
      </c>
      <c r="AN50" s="75">
        <f t="shared" si="157"/>
        <v>5.0988260822806743E-4</v>
      </c>
      <c r="AO50" s="75">
        <f t="shared" si="158"/>
        <v>-2.6956018363366308E-3</v>
      </c>
      <c r="AP50" s="75">
        <f t="shared" ref="AP50:AP65" si="163" xml:space="preserve"> IF(D50="XX", "XX", AO50 +$Z$48)</f>
        <v>2.2304398163663371E-2</v>
      </c>
      <c r="AQ50" s="12">
        <f t="shared" ref="AQ50:AQ65" si="164" xml:space="preserve"> IF(D50="XX", 0, 60 * ($AC$48 * $AN$48 * (2 * ABS(AP50)/R50)^0.5))</f>
        <v>248.92185834745115</v>
      </c>
      <c r="AR50" s="13" t="str">
        <f t="shared" si="159"/>
        <v>Infl</v>
      </c>
      <c r="AS50" s="12">
        <f t="shared" si="160"/>
        <v>-248.92185834745115</v>
      </c>
      <c r="AT50" s="98">
        <f t="shared" ref="AT50:AT65" si="165">IF(D50="XX", "XX", AS50/$O$48)</f>
        <v>-2.5609244685951764E-2</v>
      </c>
      <c r="AU50" s="12">
        <f t="shared" si="161"/>
        <v>-4677.583637413235</v>
      </c>
      <c r="AV50" s="1047">
        <f t="shared" si="162"/>
        <v>-806.50682104574184</v>
      </c>
    </row>
    <row r="51" spans="2:48" ht="21" customHeight="1">
      <c r="B51" s="1168">
        <f>'Input-Output'!BK46</f>
        <v>26</v>
      </c>
      <c r="C51" s="19">
        <f>'Input-Output'!BL46</f>
        <v>35</v>
      </c>
      <c r="D51" s="1188">
        <f>'Input-Output'!BM46</f>
        <v>47</v>
      </c>
      <c r="E51" s="19">
        <f>'Input-Output'!BN46</f>
        <v>1176.5</v>
      </c>
      <c r="F51" s="19">
        <f>'Input-Output'!BO46</f>
        <v>358.59720000000004</v>
      </c>
      <c r="G51" s="20">
        <f t="shared" si="127"/>
        <v>97.090922313972158</v>
      </c>
      <c r="H51" s="20">
        <f t="shared" si="128"/>
        <v>28.749110889550455</v>
      </c>
      <c r="I51" s="20">
        <f t="shared" si="129"/>
        <v>390.16625736491409</v>
      </c>
      <c r="J51" s="20">
        <f t="shared" si="130"/>
        <v>14.081842198129026</v>
      </c>
      <c r="K51" s="20">
        <f t="shared" si="131"/>
        <v>10.168067226890756</v>
      </c>
      <c r="L51" s="27">
        <f t="shared" si="132"/>
        <v>92.591660000000005</v>
      </c>
      <c r="M51" s="17">
        <f t="shared" si="133"/>
        <v>73.416989999999998</v>
      </c>
      <c r="N51" s="22">
        <f t="shared" si="134"/>
        <v>64.679479421130353</v>
      </c>
      <c r="O51" s="23">
        <f t="shared" si="135"/>
        <v>1.4083372874518016E-2</v>
      </c>
      <c r="P51" s="22">
        <f t="shared" si="136"/>
        <v>41.109109109541869</v>
      </c>
      <c r="Q51" s="102">
        <f t="shared" si="137"/>
        <v>14.81877587450114</v>
      </c>
      <c r="R51" s="106">
        <f t="shared" si="138"/>
        <v>6.7481957245922916E-2</v>
      </c>
      <c r="S51" s="32">
        <f t="shared" si="139"/>
        <v>37.74343429540928</v>
      </c>
      <c r="T51" s="24">
        <f t="shared" si="140"/>
        <v>552.29165999999998</v>
      </c>
      <c r="U51" s="66">
        <f t="shared" si="141"/>
        <v>533.11698999999999</v>
      </c>
      <c r="W51" s="1202">
        <f t="shared" si="142"/>
        <v>0.40826453675938534</v>
      </c>
      <c r="X51" s="21">
        <f t="shared" si="143"/>
        <v>1.8571026754103128E-2</v>
      </c>
      <c r="Y51" s="23">
        <f t="shared" si="144"/>
        <v>0.75845129678908318</v>
      </c>
      <c r="Z51" s="21">
        <f t="shared" si="145"/>
        <v>1.5485851202085934</v>
      </c>
      <c r="AA51" s="21">
        <f t="shared" si="146"/>
        <v>0.63654734061896789</v>
      </c>
      <c r="AB51" s="21">
        <f t="shared" si="147"/>
        <v>-1.1655148522296959</v>
      </c>
      <c r="AC51" s="70">
        <f t="shared" si="148"/>
        <v>3.5407017708189478E-2</v>
      </c>
      <c r="AF51" s="1168">
        <f t="shared" si="149"/>
        <v>26</v>
      </c>
      <c r="AG51" s="19">
        <f t="shared" si="150"/>
        <v>35</v>
      </c>
      <c r="AH51" s="1188">
        <f t="shared" si="151"/>
        <v>47</v>
      </c>
      <c r="AI51" s="19">
        <f t="shared" si="152"/>
        <v>1176.5</v>
      </c>
      <c r="AJ51" s="1100">
        <f t="shared" si="153"/>
        <v>358.59720000000004</v>
      </c>
      <c r="AK51" s="1146">
        <f t="shared" si="154"/>
        <v>1</v>
      </c>
      <c r="AL51" s="97">
        <f t="shared" si="155"/>
        <v>676.5</v>
      </c>
      <c r="AM51" s="75">
        <f t="shared" si="156"/>
        <v>-9.3963510695342384E-4</v>
      </c>
      <c r="AN51" s="75">
        <f t="shared" si="157"/>
        <v>4.7164060106022807E-4</v>
      </c>
      <c r="AO51" s="75">
        <f t="shared" si="158"/>
        <v>-4.6799450589319578E-4</v>
      </c>
      <c r="AP51" s="75">
        <f t="shared" si="163"/>
        <v>2.4532005494106807E-2</v>
      </c>
      <c r="AQ51" s="12">
        <f t="shared" si="164"/>
        <v>260.85075373187931</v>
      </c>
      <c r="AR51" s="13" t="str">
        <f t="shared" si="159"/>
        <v>Infl</v>
      </c>
      <c r="AS51" s="12">
        <f t="shared" si="160"/>
        <v>-260.85075373187931</v>
      </c>
      <c r="AT51" s="98">
        <f t="shared" si="165"/>
        <v>-2.6836497297518448E-2</v>
      </c>
      <c r="AU51" s="12">
        <f t="shared" si="161"/>
        <v>-4955.9015920265492</v>
      </c>
      <c r="AV51" s="1047">
        <f t="shared" si="162"/>
        <v>-845.15644209128902</v>
      </c>
    </row>
    <row r="52" spans="2:48" ht="21" customHeight="1">
      <c r="B52" s="1168">
        <f>'Input-Output'!BK47</f>
        <v>25</v>
      </c>
      <c r="C52" s="19">
        <f>'Input-Output'!BL47</f>
        <v>31</v>
      </c>
      <c r="D52" s="1188">
        <f>'Input-Output'!BM47</f>
        <v>43</v>
      </c>
      <c r="E52" s="19">
        <f>'Input-Output'!BN47</f>
        <v>1122.5</v>
      </c>
      <c r="F52" s="19">
        <f>'Input-Output'!BO47</f>
        <v>342.13800000000003</v>
      </c>
      <c r="G52" s="20">
        <f t="shared" si="127"/>
        <v>97.282070176840506</v>
      </c>
      <c r="H52" s="20">
        <f t="shared" si="128"/>
        <v>28.805710734056326</v>
      </c>
      <c r="I52" s="20">
        <f t="shared" si="129"/>
        <v>390.93439762438629</v>
      </c>
      <c r="J52" s="20">
        <f t="shared" si="130"/>
        <v>14.109565840847315</v>
      </c>
      <c r="K52" s="20">
        <f t="shared" si="131"/>
        <v>9.7555385790679914</v>
      </c>
      <c r="L52" s="27">
        <f t="shared" si="132"/>
        <v>92.783900000000003</v>
      </c>
      <c r="M52" s="17">
        <f t="shared" si="133"/>
        <v>73.543350000000004</v>
      </c>
      <c r="N52" s="22">
        <f t="shared" si="134"/>
        <v>64.79073019556111</v>
      </c>
      <c r="O52" s="23">
        <f t="shared" si="135"/>
        <v>1.4111096998632921E-2</v>
      </c>
      <c r="P52" s="22">
        <f t="shared" si="136"/>
        <v>41.023988851080432</v>
      </c>
      <c r="Q52" s="102">
        <f t="shared" si="137"/>
        <v>14.795451530796946</v>
      </c>
      <c r="R52" s="106">
        <f t="shared" si="138"/>
        <v>6.7588339424348456E-2</v>
      </c>
      <c r="S52" s="32">
        <f t="shared" si="139"/>
        <v>37.821331395637813</v>
      </c>
      <c r="T52" s="24">
        <f t="shared" si="140"/>
        <v>552.48389999999995</v>
      </c>
      <c r="U52" s="66">
        <f t="shared" si="141"/>
        <v>533.24334999999996</v>
      </c>
      <c r="W52" s="1202">
        <f t="shared" si="142"/>
        <v>0.41000225378779892</v>
      </c>
      <c r="X52" s="21">
        <f t="shared" si="143"/>
        <v>1.8614695292324374E-2</v>
      </c>
      <c r="Y52" s="23">
        <f t="shared" si="144"/>
        <v>0.76298715241293757</v>
      </c>
      <c r="Z52" s="21">
        <f t="shared" si="145"/>
        <v>1.5578463062020147</v>
      </c>
      <c r="AA52" s="21">
        <f t="shared" si="146"/>
        <v>0.63902824642694844</v>
      </c>
      <c r="AB52" s="21">
        <f t="shared" si="147"/>
        <v>-1.1616249864131944</v>
      </c>
      <c r="AC52" s="70">
        <f t="shared" si="148"/>
        <v>3.5556883912806536E-2</v>
      </c>
      <c r="AF52" s="1168">
        <f t="shared" si="149"/>
        <v>25</v>
      </c>
      <c r="AG52" s="19">
        <f t="shared" si="150"/>
        <v>31</v>
      </c>
      <c r="AH52" s="1188">
        <f t="shared" si="151"/>
        <v>43</v>
      </c>
      <c r="AI52" s="19">
        <f t="shared" si="152"/>
        <v>1122.5</v>
      </c>
      <c r="AJ52" s="1100">
        <f t="shared" si="153"/>
        <v>342.13800000000003</v>
      </c>
      <c r="AK52" s="1146">
        <f t="shared" si="154"/>
        <v>1</v>
      </c>
      <c r="AL52" s="97">
        <f t="shared" si="155"/>
        <v>622.5</v>
      </c>
      <c r="AM52" s="75">
        <f t="shared" si="156"/>
        <v>1.3838557517424374E-3</v>
      </c>
      <c r="AN52" s="75">
        <f t="shared" si="157"/>
        <v>4.3483147609411942E-4</v>
      </c>
      <c r="AO52" s="75">
        <f t="shared" si="158"/>
        <v>1.8186872278365567E-3</v>
      </c>
      <c r="AP52" s="75">
        <f t="shared" si="163"/>
        <v>2.6818687227836559E-2</v>
      </c>
      <c r="AQ52" s="12">
        <f t="shared" si="164"/>
        <v>272.52244332017818</v>
      </c>
      <c r="AR52" s="13" t="str">
        <f t="shared" si="159"/>
        <v>Infl</v>
      </c>
      <c r="AS52" s="12">
        <f t="shared" si="160"/>
        <v>-272.52244332017818</v>
      </c>
      <c r="AT52" s="98">
        <f t="shared" si="165"/>
        <v>-2.8037288407425739E-2</v>
      </c>
      <c r="AU52" s="12">
        <f t="shared" si="161"/>
        <v>-5234.2328301426551</v>
      </c>
      <c r="AV52" s="1047">
        <f t="shared" si="162"/>
        <v>-882.97271635737729</v>
      </c>
    </row>
    <row r="53" spans="2:48" ht="21" customHeight="1">
      <c r="B53" s="1168">
        <f>'Input-Output'!BK48</f>
        <v>24</v>
      </c>
      <c r="C53" s="19">
        <f>'Input-Output'!BL48</f>
        <v>28</v>
      </c>
      <c r="D53" s="1188">
        <f>'Input-Output'!BM48</f>
        <v>40</v>
      </c>
      <c r="E53" s="19">
        <f>'Input-Output'!BN48</f>
        <v>1082</v>
      </c>
      <c r="F53" s="19">
        <f>'Input-Output'!BO48</f>
        <v>329.79360000000003</v>
      </c>
      <c r="G53" s="20">
        <f t="shared" si="127"/>
        <v>97.425630949423919</v>
      </c>
      <c r="H53" s="20">
        <f t="shared" si="128"/>
        <v>28.848219801557441</v>
      </c>
      <c r="I53" s="20">
        <f t="shared" si="129"/>
        <v>391.51130603156105</v>
      </c>
      <c r="J53" s="20">
        <f t="shared" si="130"/>
        <v>14.130387562355157</v>
      </c>
      <c r="K53" s="20">
        <f t="shared" si="131"/>
        <v>9.4461420932009155</v>
      </c>
      <c r="L53" s="27">
        <f t="shared" si="132"/>
        <v>92.928079999999994</v>
      </c>
      <c r="M53" s="17">
        <f t="shared" si="133"/>
        <v>73.638120000000001</v>
      </c>
      <c r="N53" s="22">
        <f t="shared" si="134"/>
        <v>64.874212693300052</v>
      </c>
      <c r="O53" s="23">
        <f t="shared" si="135"/>
        <v>1.4131937151698011E-2</v>
      </c>
      <c r="P53" s="22">
        <f t="shared" si="136"/>
        <v>40.960401055239487</v>
      </c>
      <c r="Q53" s="102">
        <f t="shared" si="137"/>
        <v>14.777989405110226</v>
      </c>
      <c r="R53" s="106">
        <f t="shared" si="138"/>
        <v>6.7668203879899941E-2</v>
      </c>
      <c r="S53" s="32">
        <f t="shared" si="139"/>
        <v>37.879809199019043</v>
      </c>
      <c r="T53" s="24">
        <f t="shared" si="140"/>
        <v>552.62807999999995</v>
      </c>
      <c r="U53" s="66">
        <f t="shared" si="141"/>
        <v>533.33812</v>
      </c>
      <c r="W53" s="1202">
        <f t="shared" si="142"/>
        <v>0.41130977785805745</v>
      </c>
      <c r="X53" s="21">
        <f t="shared" si="143"/>
        <v>1.8647496548291669E-2</v>
      </c>
      <c r="Y53" s="23">
        <f t="shared" si="144"/>
        <v>0.76640446313246313</v>
      </c>
      <c r="Z53" s="21">
        <f t="shared" si="145"/>
        <v>1.5648236777930324</v>
      </c>
      <c r="AA53" s="21">
        <f t="shared" si="146"/>
        <v>0.64089542321661741</v>
      </c>
      <c r="AB53" s="21">
        <f t="shared" si="147"/>
        <v>-1.1587073466218525</v>
      </c>
      <c r="AC53" s="70">
        <f t="shared" si="148"/>
        <v>3.5669623677304384E-2</v>
      </c>
      <c r="AF53" s="1168">
        <f t="shared" si="149"/>
        <v>24</v>
      </c>
      <c r="AG53" s="19">
        <f t="shared" si="150"/>
        <v>28</v>
      </c>
      <c r="AH53" s="1188">
        <f t="shared" si="151"/>
        <v>40</v>
      </c>
      <c r="AI53" s="19">
        <f t="shared" si="152"/>
        <v>1082</v>
      </c>
      <c r="AJ53" s="1100">
        <f t="shared" si="153"/>
        <v>329.79360000000003</v>
      </c>
      <c r="AK53" s="1146">
        <f t="shared" si="154"/>
        <v>1</v>
      </c>
      <c r="AL53" s="97">
        <f t="shared" si="155"/>
        <v>582</v>
      </c>
      <c r="AM53" s="75">
        <f t="shared" si="156"/>
        <v>3.1644518944115747E-3</v>
      </c>
      <c r="AN53" s="75">
        <f t="shared" si="157"/>
        <v>4.0816925934405226E-4</v>
      </c>
      <c r="AO53" s="75">
        <f t="shared" si="158"/>
        <v>3.5726211537556269E-3</v>
      </c>
      <c r="AP53" s="75">
        <f t="shared" si="163"/>
        <v>2.8572621153755629E-2</v>
      </c>
      <c r="AQ53" s="12">
        <f t="shared" si="164"/>
        <v>281.12671728978842</v>
      </c>
      <c r="AR53" s="13" t="str">
        <f t="shared" si="159"/>
        <v>Infl</v>
      </c>
      <c r="AS53" s="12">
        <f t="shared" si="160"/>
        <v>-281.12671728978842</v>
      </c>
      <c r="AT53" s="98">
        <f t="shared" si="165"/>
        <v>-2.8922501778784818E-2</v>
      </c>
      <c r="AU53" s="12">
        <f t="shared" si="161"/>
        <v>-5443.2672599254047</v>
      </c>
      <c r="AV53" s="1047">
        <f t="shared" si="162"/>
        <v>-910.8505640189145</v>
      </c>
    </row>
    <row r="54" spans="2:48" ht="21" customHeight="1">
      <c r="B54" s="1168">
        <f>'Input-Output'!BK49</f>
        <v>23</v>
      </c>
      <c r="C54" s="19">
        <f>'Input-Output'!BL49</f>
        <v>26</v>
      </c>
      <c r="D54" s="1188">
        <f>'Input-Output'!BM49</f>
        <v>38</v>
      </c>
      <c r="E54" s="19">
        <f>'Input-Output'!BN49</f>
        <v>1055</v>
      </c>
      <c r="F54" s="19">
        <f>'Input-Output'!BO49</f>
        <v>321.56400000000002</v>
      </c>
      <c r="G54" s="20">
        <f t="shared" si="127"/>
        <v>97.521433396904129</v>
      </c>
      <c r="H54" s="20">
        <f t="shared" si="128"/>
        <v>28.876587388562047</v>
      </c>
      <c r="I54" s="20">
        <f t="shared" si="129"/>
        <v>391.8962944680585</v>
      </c>
      <c r="J54" s="20">
        <f t="shared" si="130"/>
        <v>14.144282527151642</v>
      </c>
      <c r="K54" s="20">
        <f t="shared" si="131"/>
        <v>9.2398777692895351</v>
      </c>
      <c r="L54" s="27">
        <f t="shared" si="132"/>
        <v>93.024199999999993</v>
      </c>
      <c r="M54" s="17">
        <f t="shared" si="133"/>
        <v>73.701300000000003</v>
      </c>
      <c r="N54" s="22">
        <f t="shared" si="134"/>
        <v>64.929888811361877</v>
      </c>
      <c r="O54" s="23">
        <f t="shared" si="135"/>
        <v>1.4145853012796115E-2</v>
      </c>
      <c r="P54" s="22">
        <f t="shared" si="136"/>
        <v>40.918128852150701</v>
      </c>
      <c r="Q54" s="102">
        <f t="shared" si="137"/>
        <v>14.766362786087635</v>
      </c>
      <c r="R54" s="106">
        <f t="shared" si="138"/>
        <v>6.7721483921698439E-2</v>
      </c>
      <c r="S54" s="32">
        <f t="shared" si="139"/>
        <v>37.918820603542507</v>
      </c>
      <c r="T54" s="24">
        <f t="shared" si="140"/>
        <v>552.7242</v>
      </c>
      <c r="U54" s="66">
        <f t="shared" si="141"/>
        <v>533.40129999999999</v>
      </c>
      <c r="W54" s="1202">
        <f t="shared" si="142"/>
        <v>0.41218348258800031</v>
      </c>
      <c r="X54" s="21">
        <f t="shared" si="143"/>
        <v>1.8669387809402516E-2</v>
      </c>
      <c r="Y54" s="23">
        <f t="shared" si="144"/>
        <v>0.76869003638776379</v>
      </c>
      <c r="Z54" s="21">
        <f t="shared" si="145"/>
        <v>1.5694902987735613</v>
      </c>
      <c r="AA54" s="21">
        <f t="shared" si="146"/>
        <v>0.64214330981065126</v>
      </c>
      <c r="AB54" s="21">
        <f t="shared" si="147"/>
        <v>-1.1567621411414668</v>
      </c>
      <c r="AC54" s="70">
        <f t="shared" si="148"/>
        <v>3.5744945815492361E-2</v>
      </c>
      <c r="AF54" s="1168">
        <f t="shared" si="149"/>
        <v>23</v>
      </c>
      <c r="AG54" s="19">
        <f t="shared" si="150"/>
        <v>26</v>
      </c>
      <c r="AH54" s="1188">
        <f t="shared" si="151"/>
        <v>38</v>
      </c>
      <c r="AI54" s="19">
        <f t="shared" si="152"/>
        <v>1055</v>
      </c>
      <c r="AJ54" s="1100">
        <f t="shared" si="153"/>
        <v>321.56400000000002</v>
      </c>
      <c r="AK54" s="1146">
        <f t="shared" si="154"/>
        <v>1</v>
      </c>
      <c r="AL54" s="97">
        <f t="shared" si="155"/>
        <v>555</v>
      </c>
      <c r="AM54" s="75">
        <f t="shared" si="156"/>
        <v>4.369659587441615E-3</v>
      </c>
      <c r="AN54" s="75">
        <f t="shared" si="157"/>
        <v>3.9084594819632719E-4</v>
      </c>
      <c r="AO54" s="75">
        <f t="shared" si="158"/>
        <v>4.7605055356379419E-3</v>
      </c>
      <c r="AP54" s="75">
        <f t="shared" si="163"/>
        <v>2.9760505535637943E-2</v>
      </c>
      <c r="AQ54" s="12">
        <f t="shared" si="164"/>
        <v>286.79813554259056</v>
      </c>
      <c r="AR54" s="13" t="str">
        <f t="shared" si="159"/>
        <v>Infl</v>
      </c>
      <c r="AS54" s="12">
        <f t="shared" si="160"/>
        <v>-286.79813554259056</v>
      </c>
      <c r="AT54" s="98">
        <f t="shared" si="165"/>
        <v>-2.9505981022900262E-2</v>
      </c>
      <c r="AU54" s="12">
        <f t="shared" si="161"/>
        <v>-5582.8515110185008</v>
      </c>
      <c r="AV54" s="1047">
        <f t="shared" si="162"/>
        <v>-929.22595915799354</v>
      </c>
    </row>
    <row r="55" spans="2:48" ht="21" customHeight="1">
      <c r="B55" s="1168">
        <f>'Input-Output'!BK50</f>
        <v>22</v>
      </c>
      <c r="C55" s="19">
        <f>'Input-Output'!BL50</f>
        <v>24</v>
      </c>
      <c r="D55" s="1188">
        <f>'Input-Output'!BM50</f>
        <v>36</v>
      </c>
      <c r="E55" s="19">
        <f>'Input-Output'!BN50</f>
        <v>1028</v>
      </c>
      <c r="F55" s="19">
        <f>'Input-Output'!BO50</f>
        <v>313.33440000000002</v>
      </c>
      <c r="G55" s="20">
        <f t="shared" si="127"/>
        <v>97.617312111143534</v>
      </c>
      <c r="H55" s="20">
        <f t="shared" si="128"/>
        <v>28.904977558538004</v>
      </c>
      <c r="I55" s="20">
        <f t="shared" si="129"/>
        <v>392.28158938754416</v>
      </c>
      <c r="J55" s="20">
        <f t="shared" si="130"/>
        <v>14.158188553502001</v>
      </c>
      <c r="K55" s="20">
        <f t="shared" si="131"/>
        <v>9.0336134453781511</v>
      </c>
      <c r="L55" s="27">
        <f t="shared" si="132"/>
        <v>93.120320000000007</v>
      </c>
      <c r="M55" s="17">
        <f t="shared" si="133"/>
        <v>73.764480000000006</v>
      </c>
      <c r="N55" s="22">
        <f t="shared" si="134"/>
        <v>64.985581805681051</v>
      </c>
      <c r="O55" s="23">
        <f t="shared" si="135"/>
        <v>1.4159786824555537E-2</v>
      </c>
      <c r="P55" s="22">
        <f t="shared" si="136"/>
        <v>40.8759520502987</v>
      </c>
      <c r="Q55" s="102">
        <f t="shared" si="137"/>
        <v>14.754747988962597</v>
      </c>
      <c r="R55" s="106">
        <f t="shared" si="138"/>
        <v>6.7774793629010649E-2</v>
      </c>
      <c r="S55" s="32">
        <f t="shared" si="139"/>
        <v>37.957852983677498</v>
      </c>
      <c r="T55" s="24">
        <f t="shared" si="140"/>
        <v>552.82032000000004</v>
      </c>
      <c r="U55" s="66">
        <f t="shared" si="141"/>
        <v>533.46447999999998</v>
      </c>
      <c r="W55" s="1202">
        <f t="shared" si="142"/>
        <v>0.41305880787996951</v>
      </c>
      <c r="X55" s="21">
        <f t="shared" si="143"/>
        <v>1.8691298087383523E-2</v>
      </c>
      <c r="Y55" s="23">
        <f t="shared" si="144"/>
        <v>0.77098151732752473</v>
      </c>
      <c r="Z55" s="21">
        <f t="shared" si="145"/>
        <v>1.5741689819026934</v>
      </c>
      <c r="AA55" s="21">
        <f t="shared" si="146"/>
        <v>0.64339368307792988</v>
      </c>
      <c r="AB55" s="21">
        <f t="shared" si="147"/>
        <v>-1.1548168472004952</v>
      </c>
      <c r="AC55" s="70">
        <f t="shared" si="148"/>
        <v>3.5820398000239305E-2</v>
      </c>
      <c r="AF55" s="1168">
        <f t="shared" si="149"/>
        <v>22</v>
      </c>
      <c r="AG55" s="19">
        <f t="shared" si="150"/>
        <v>24</v>
      </c>
      <c r="AH55" s="1188">
        <f t="shared" si="151"/>
        <v>36</v>
      </c>
      <c r="AI55" s="19">
        <f t="shared" si="152"/>
        <v>1028</v>
      </c>
      <c r="AJ55" s="1100">
        <f t="shared" si="153"/>
        <v>313.33440000000002</v>
      </c>
      <c r="AK55" s="1146">
        <f t="shared" si="154"/>
        <v>1</v>
      </c>
      <c r="AL55" s="97">
        <f t="shared" si="155"/>
        <v>528</v>
      </c>
      <c r="AM55" s="75">
        <f t="shared" si="156"/>
        <v>5.5894188223940232E-3</v>
      </c>
      <c r="AN55" s="75">
        <f t="shared" si="157"/>
        <v>3.7388488256455903E-4</v>
      </c>
      <c r="AO55" s="75">
        <f t="shared" si="158"/>
        <v>5.9633037049585825E-3</v>
      </c>
      <c r="AP55" s="75">
        <f t="shared" si="163"/>
        <v>3.0963303704958582E-2</v>
      </c>
      <c r="AQ55" s="12">
        <f t="shared" si="164"/>
        <v>292.42126322329341</v>
      </c>
      <c r="AR55" s="13" t="str">
        <f t="shared" si="159"/>
        <v>Infl</v>
      </c>
      <c r="AS55" s="12">
        <f t="shared" si="160"/>
        <v>-292.42126322329341</v>
      </c>
      <c r="AT55" s="98">
        <f t="shared" si="165"/>
        <v>-3.0084492101161875E-2</v>
      </c>
      <c r="AU55" s="12">
        <f t="shared" si="161"/>
        <v>-5722.6682135631354</v>
      </c>
      <c r="AV55" s="1047">
        <f t="shared" si="162"/>
        <v>-947.44489284347071</v>
      </c>
    </row>
    <row r="56" spans="2:48" ht="21" customHeight="1">
      <c r="B56" s="1168">
        <f>'Input-Output'!BK51</f>
        <v>21</v>
      </c>
      <c r="C56" s="19">
        <f>'Input-Output'!BL51</f>
        <v>25</v>
      </c>
      <c r="D56" s="1188">
        <f>'Input-Output'!BM51</f>
        <v>37</v>
      </c>
      <c r="E56" s="19">
        <f>'Input-Output'!BN51</f>
        <v>1041.5</v>
      </c>
      <c r="F56" s="19">
        <f>'Input-Output'!BO51</f>
        <v>317.44920000000002</v>
      </c>
      <c r="G56" s="20">
        <f t="shared" si="127"/>
        <v>97.569363217776953</v>
      </c>
      <c r="H56" s="20">
        <f t="shared" si="128"/>
        <v>28.890779649819315</v>
      </c>
      <c r="I56" s="20">
        <f t="shared" si="129"/>
        <v>392.08890360576601</v>
      </c>
      <c r="J56" s="20">
        <f t="shared" si="130"/>
        <v>14.151234157211691</v>
      </c>
      <c r="K56" s="20">
        <f t="shared" si="131"/>
        <v>9.1367456073338431</v>
      </c>
      <c r="L56" s="27">
        <f t="shared" si="132"/>
        <v>93.07226</v>
      </c>
      <c r="M56" s="17">
        <f t="shared" si="133"/>
        <v>73.732889999999998</v>
      </c>
      <c r="N56" s="22">
        <f t="shared" si="134"/>
        <v>64.957733200025658</v>
      </c>
      <c r="O56" s="23">
        <f t="shared" si="135"/>
        <v>1.4152817674303084E-2</v>
      </c>
      <c r="P56" s="22">
        <f t="shared" si="136"/>
        <v>40.897028543564488</v>
      </c>
      <c r="Q56" s="102">
        <f t="shared" si="137"/>
        <v>14.76055391067543</v>
      </c>
      <c r="R56" s="106">
        <f t="shared" si="138"/>
        <v>6.7748135066717216E-2</v>
      </c>
      <c r="S56" s="32">
        <f t="shared" si="139"/>
        <v>37.938334170919582</v>
      </c>
      <c r="T56" s="24">
        <f t="shared" si="140"/>
        <v>552.77225999999996</v>
      </c>
      <c r="U56" s="66">
        <f t="shared" si="141"/>
        <v>533.43289000000004</v>
      </c>
      <c r="W56" s="1202">
        <f t="shared" si="142"/>
        <v>0.41262094250561254</v>
      </c>
      <c r="X56" s="21">
        <f t="shared" si="143"/>
        <v>1.8680340570686297E-2</v>
      </c>
      <c r="Y56" s="23">
        <f t="shared" si="144"/>
        <v>0.76983503760338534</v>
      </c>
      <c r="Z56" s="21">
        <f t="shared" si="145"/>
        <v>1.5718281309489941</v>
      </c>
      <c r="AA56" s="21">
        <f t="shared" si="146"/>
        <v>0.64276818534098368</v>
      </c>
      <c r="AB56" s="21">
        <f t="shared" si="147"/>
        <v>-1.1557895051553271</v>
      </c>
      <c r="AC56" s="70">
        <f t="shared" si="148"/>
        <v>3.5782655640763029E-2</v>
      </c>
      <c r="AF56" s="1168">
        <f t="shared" si="149"/>
        <v>21</v>
      </c>
      <c r="AG56" s="19">
        <f t="shared" si="150"/>
        <v>25</v>
      </c>
      <c r="AH56" s="1188">
        <f t="shared" si="151"/>
        <v>37</v>
      </c>
      <c r="AI56" s="19">
        <f t="shared" si="152"/>
        <v>1041.5</v>
      </c>
      <c r="AJ56" s="1100">
        <f t="shared" si="153"/>
        <v>317.44920000000002</v>
      </c>
      <c r="AK56" s="1146">
        <f t="shared" si="154"/>
        <v>1</v>
      </c>
      <c r="AL56" s="97">
        <f t="shared" si="155"/>
        <v>541.5</v>
      </c>
      <c r="AM56" s="75">
        <f t="shared" si="156"/>
        <v>4.9777182964748524E-3</v>
      </c>
      <c r="AN56" s="75">
        <f t="shared" si="157"/>
        <v>3.8232007863434227E-4</v>
      </c>
      <c r="AO56" s="75">
        <f t="shared" si="158"/>
        <v>5.3600383751091947E-3</v>
      </c>
      <c r="AP56" s="75">
        <f t="shared" si="163"/>
        <v>3.0360038375109196E-2</v>
      </c>
      <c r="AQ56" s="12">
        <f t="shared" si="164"/>
        <v>289.61555934519623</v>
      </c>
      <c r="AR56" s="13" t="str">
        <f t="shared" si="159"/>
        <v>Infl</v>
      </c>
      <c r="AS56" s="12">
        <f t="shared" si="160"/>
        <v>-289.61555934519623</v>
      </c>
      <c r="AT56" s="98">
        <f t="shared" si="165"/>
        <v>-2.9795839438806197E-2</v>
      </c>
      <c r="AU56" s="12">
        <f t="shared" si="161"/>
        <v>-5652.7283036143617</v>
      </c>
      <c r="AV56" s="1047">
        <f t="shared" si="162"/>
        <v>-938.35441227843592</v>
      </c>
    </row>
    <row r="57" spans="2:48" ht="21" customHeight="1">
      <c r="B57" s="1168">
        <f>'Input-Output'!BK52</f>
        <v>20</v>
      </c>
      <c r="C57" s="19">
        <f>'Input-Output'!BL52</f>
        <v>22</v>
      </c>
      <c r="D57" s="1188">
        <f>'Input-Output'!BM52</f>
        <v>34</v>
      </c>
      <c r="E57" s="19">
        <f>'Input-Output'!BN52</f>
        <v>1001</v>
      </c>
      <c r="F57" s="19">
        <f>'Input-Output'!BO52</f>
        <v>305.10480000000001</v>
      </c>
      <c r="G57" s="20">
        <f t="shared" si="127"/>
        <v>97.713267138580662</v>
      </c>
      <c r="H57" s="20">
        <f t="shared" si="128"/>
        <v>28.933390325235997</v>
      </c>
      <c r="I57" s="20">
        <f t="shared" si="129"/>
        <v>392.66719097663429</v>
      </c>
      <c r="J57" s="20">
        <f t="shared" si="130"/>
        <v>14.172105648141573</v>
      </c>
      <c r="K57" s="20">
        <f t="shared" si="131"/>
        <v>8.827349121466769</v>
      </c>
      <c r="L57" s="27">
        <f t="shared" si="132"/>
        <v>93.216440000000006</v>
      </c>
      <c r="M57" s="17">
        <f t="shared" si="133"/>
        <v>73.827659999999995</v>
      </c>
      <c r="N57" s="22">
        <f t="shared" si="134"/>
        <v>65.041291659702267</v>
      </c>
      <c r="O57" s="23">
        <f t="shared" si="135"/>
        <v>1.4173738595618504E-2</v>
      </c>
      <c r="P57" s="22">
        <f t="shared" si="136"/>
        <v>40.833870370143735</v>
      </c>
      <c r="Q57" s="102">
        <f t="shared" si="137"/>
        <v>14.743144999542418</v>
      </c>
      <c r="R57" s="106">
        <f t="shared" si="138"/>
        <v>6.782813300900431E-2</v>
      </c>
      <c r="S57" s="32">
        <f t="shared" si="139"/>
        <v>37.996906351249358</v>
      </c>
      <c r="T57" s="24">
        <f t="shared" si="140"/>
        <v>552.91643999999997</v>
      </c>
      <c r="U57" s="66">
        <f t="shared" si="141"/>
        <v>533.52765999999997</v>
      </c>
      <c r="W57" s="1202">
        <f t="shared" si="142"/>
        <v>0.41393575626506512</v>
      </c>
      <c r="X57" s="21">
        <f t="shared" si="143"/>
        <v>1.8713227391803172E-2</v>
      </c>
      <c r="Y57" s="23">
        <f t="shared" si="144"/>
        <v>0.77327891865881981</v>
      </c>
      <c r="Z57" s="21">
        <f t="shared" si="145"/>
        <v>1.5788597531253845</v>
      </c>
      <c r="AA57" s="21">
        <f t="shared" si="146"/>
        <v>0.64464654732710081</v>
      </c>
      <c r="AB57" s="21">
        <f t="shared" si="147"/>
        <v>-1.1528714659698176</v>
      </c>
      <c r="AC57" s="70">
        <f t="shared" si="148"/>
        <v>3.5895980412158059E-2</v>
      </c>
      <c r="AF57" s="1168">
        <f t="shared" si="149"/>
        <v>20</v>
      </c>
      <c r="AG57" s="19">
        <f t="shared" si="150"/>
        <v>22</v>
      </c>
      <c r="AH57" s="1188">
        <f t="shared" si="151"/>
        <v>34</v>
      </c>
      <c r="AI57" s="19">
        <f t="shared" si="152"/>
        <v>1001</v>
      </c>
      <c r="AJ57" s="1100">
        <f t="shared" si="153"/>
        <v>305.10480000000001</v>
      </c>
      <c r="AK57" s="1146">
        <f t="shared" si="154"/>
        <v>1</v>
      </c>
      <c r="AL57" s="97">
        <f t="shared" si="155"/>
        <v>501</v>
      </c>
      <c r="AM57" s="75">
        <f t="shared" si="156"/>
        <v>6.823761063170313E-3</v>
      </c>
      <c r="AN57" s="75">
        <f t="shared" si="157"/>
        <v>3.572869597356788E-4</v>
      </c>
      <c r="AO57" s="75">
        <f t="shared" si="158"/>
        <v>7.181048022905992E-3</v>
      </c>
      <c r="AP57" s="75">
        <f t="shared" si="163"/>
        <v>3.2181048022905993E-2</v>
      </c>
      <c r="AQ57" s="12">
        <f t="shared" si="164"/>
        <v>297.99883390866228</v>
      </c>
      <c r="AR57" s="13" t="str">
        <f t="shared" si="159"/>
        <v>Infl</v>
      </c>
      <c r="AS57" s="12">
        <f t="shared" si="160"/>
        <v>-297.99883390866228</v>
      </c>
      <c r="AT57" s="98">
        <f t="shared" si="165"/>
        <v>-3.0658316245747146E-2</v>
      </c>
      <c r="AU57" s="12">
        <f t="shared" si="161"/>
        <v>-5862.7561082044831</v>
      </c>
      <c r="AV57" s="1047">
        <f t="shared" si="162"/>
        <v>-965.51622186406587</v>
      </c>
    </row>
    <row r="58" spans="2:48" ht="21" customHeight="1">
      <c r="B58" s="1168">
        <f>'Input-Output'!BK53</f>
        <v>19</v>
      </c>
      <c r="C58" s="19">
        <f>'Input-Output'!BL53</f>
        <v>19</v>
      </c>
      <c r="D58" s="1188">
        <f>'Input-Output'!BM53</f>
        <v>31</v>
      </c>
      <c r="E58" s="19">
        <f>'Input-Output'!BN53</f>
        <v>960.5</v>
      </c>
      <c r="F58" s="19">
        <f>'Input-Output'!BO53</f>
        <v>292.7604</v>
      </c>
      <c r="G58" s="20">
        <f t="shared" si="127"/>
        <v>97.857342868615135</v>
      </c>
      <c r="H58" s="20">
        <f t="shared" si="128"/>
        <v>28.976051874230858</v>
      </c>
      <c r="I58" s="20">
        <f t="shared" si="129"/>
        <v>393.24616877419692</v>
      </c>
      <c r="J58" s="20">
        <f t="shared" si="130"/>
        <v>14.193002057883822</v>
      </c>
      <c r="K58" s="20">
        <f t="shared" si="131"/>
        <v>8.5179526355996948</v>
      </c>
      <c r="L58" s="27">
        <f t="shared" si="132"/>
        <v>93.360619999999997</v>
      </c>
      <c r="M58" s="17">
        <f t="shared" si="133"/>
        <v>73.922430000000006</v>
      </c>
      <c r="N58" s="22">
        <f t="shared" si="134"/>
        <v>65.124888016622023</v>
      </c>
      <c r="O58" s="23">
        <f t="shared" si="135"/>
        <v>1.4194699944810863E-2</v>
      </c>
      <c r="P58" s="22">
        <f t="shared" si="136"/>
        <v>40.770925593988444</v>
      </c>
      <c r="Q58" s="102">
        <f t="shared" si="137"/>
        <v>14.725762623860433</v>
      </c>
      <c r="R58" s="106">
        <f t="shared" si="138"/>
        <v>6.7908197730939993E-2</v>
      </c>
      <c r="S58" s="32">
        <f t="shared" si="139"/>
        <v>38.055525779921638</v>
      </c>
      <c r="T58" s="24">
        <f t="shared" si="140"/>
        <v>553.06061999999997</v>
      </c>
      <c r="U58" s="66">
        <f t="shared" si="141"/>
        <v>533.62243000000001</v>
      </c>
      <c r="W58" s="1202">
        <f t="shared" si="142"/>
        <v>0.41525422768678827</v>
      </c>
      <c r="X58" s="21">
        <f t="shared" si="143"/>
        <v>1.8746157043936472E-2</v>
      </c>
      <c r="Y58" s="23">
        <f t="shared" si="144"/>
        <v>0.77673614923850309</v>
      </c>
      <c r="Z58" s="21">
        <f t="shared" si="145"/>
        <v>1.5859186319953833</v>
      </c>
      <c r="AA58" s="21">
        <f t="shared" si="146"/>
        <v>0.64653052373139486</v>
      </c>
      <c r="AB58" s="21">
        <f t="shared" si="147"/>
        <v>-1.1499532330124158</v>
      </c>
      <c r="AC58" s="70">
        <f t="shared" si="148"/>
        <v>3.6009598601653363E-2</v>
      </c>
      <c r="AF58" s="1168">
        <f t="shared" si="149"/>
        <v>19</v>
      </c>
      <c r="AG58" s="19">
        <f t="shared" si="150"/>
        <v>19</v>
      </c>
      <c r="AH58" s="1188">
        <f t="shared" si="151"/>
        <v>31</v>
      </c>
      <c r="AI58" s="19">
        <f t="shared" si="152"/>
        <v>960.5</v>
      </c>
      <c r="AJ58" s="1100">
        <f t="shared" si="153"/>
        <v>292.7604</v>
      </c>
      <c r="AK58" s="1146">
        <f t="shared" si="154"/>
        <v>1</v>
      </c>
      <c r="AL58" s="97">
        <f t="shared" si="155"/>
        <v>460.5</v>
      </c>
      <c r="AM58" s="75">
        <f t="shared" si="156"/>
        <v>8.7026864706336339E-3</v>
      </c>
      <c r="AN58" s="75">
        <f t="shared" si="157"/>
        <v>3.3307293356539341E-4</v>
      </c>
      <c r="AO58" s="75">
        <f t="shared" si="158"/>
        <v>9.0357594041990275E-3</v>
      </c>
      <c r="AP58" s="75">
        <f t="shared" si="163"/>
        <v>3.4035759404199027E-2</v>
      </c>
      <c r="AQ58" s="12">
        <f t="shared" si="164"/>
        <v>306.28520914092542</v>
      </c>
      <c r="AR58" s="13" t="str">
        <f t="shared" si="159"/>
        <v>Infl</v>
      </c>
      <c r="AS58" s="12">
        <f t="shared" si="160"/>
        <v>-306.28520914092542</v>
      </c>
      <c r="AT58" s="98">
        <f t="shared" si="165"/>
        <v>-3.1510823985691917E-2</v>
      </c>
      <c r="AU58" s="12">
        <f t="shared" si="161"/>
        <v>-6073.4732435896221</v>
      </c>
      <c r="AV58" s="1047">
        <f t="shared" si="162"/>
        <v>-992.36407761659837</v>
      </c>
    </row>
    <row r="59" spans="2:48" ht="21" customHeight="1">
      <c r="B59" s="1168">
        <f>'Input-Output'!BK54</f>
        <v>18</v>
      </c>
      <c r="C59" s="19">
        <f>'Input-Output'!BL54</f>
        <v>16</v>
      </c>
      <c r="D59" s="1188">
        <f>'Input-Output'!BM54</f>
        <v>28</v>
      </c>
      <c r="E59" s="19">
        <f>'Input-Output'!BN54</f>
        <v>920</v>
      </c>
      <c r="F59" s="19">
        <f>'Input-Output'!BO54</f>
        <v>280.416</v>
      </c>
      <c r="G59" s="20">
        <f t="shared" si="127"/>
        <v>98.001590564759653</v>
      </c>
      <c r="H59" s="20">
        <f t="shared" si="128"/>
        <v>29.018764343256649</v>
      </c>
      <c r="I59" s="20">
        <f t="shared" si="129"/>
        <v>393.82583762888362</v>
      </c>
      <c r="J59" s="20">
        <f t="shared" si="130"/>
        <v>14.213923409191846</v>
      </c>
      <c r="K59" s="20">
        <f t="shared" si="131"/>
        <v>8.2085561497326207</v>
      </c>
      <c r="L59" s="27">
        <f t="shared" si="132"/>
        <v>93.504800000000003</v>
      </c>
      <c r="M59" s="17">
        <f t="shared" si="133"/>
        <v>74.017200000000003</v>
      </c>
      <c r="N59" s="22">
        <f t="shared" si="134"/>
        <v>65.208522215405509</v>
      </c>
      <c r="O59" s="23">
        <f t="shared" si="135"/>
        <v>1.4215701751042108E-2</v>
      </c>
      <c r="P59" s="22">
        <f t="shared" si="136"/>
        <v>40.708193279002927</v>
      </c>
      <c r="Q59" s="102">
        <f t="shared" si="137"/>
        <v>14.708406735877855</v>
      </c>
      <c r="R59" s="106">
        <f t="shared" si="138"/>
        <v>6.7988329256677721E-2</v>
      </c>
      <c r="S59" s="32">
        <f t="shared" si="139"/>
        <v>38.114192496852013</v>
      </c>
      <c r="T59" s="24">
        <f t="shared" si="140"/>
        <v>553.20479999999998</v>
      </c>
      <c r="U59" s="66">
        <f t="shared" si="141"/>
        <v>533.71720000000005</v>
      </c>
      <c r="W59" s="1202">
        <f t="shared" si="142"/>
        <v>0.41657636533692921</v>
      </c>
      <c r="X59" s="21">
        <f t="shared" si="143"/>
        <v>1.8779129559378778E-2</v>
      </c>
      <c r="Y59" s="23">
        <f t="shared" si="144"/>
        <v>0.7802067723889361</v>
      </c>
      <c r="Z59" s="21">
        <f t="shared" si="145"/>
        <v>1.5930048554501592</v>
      </c>
      <c r="AA59" s="21">
        <f t="shared" si="146"/>
        <v>0.64842012913966696</v>
      </c>
      <c r="AB59" s="21">
        <f t="shared" si="147"/>
        <v>-1.1470348102211534</v>
      </c>
      <c r="AC59" s="70">
        <f t="shared" si="148"/>
        <v>3.6123510820603444E-2</v>
      </c>
      <c r="AF59" s="1168">
        <f t="shared" si="149"/>
        <v>18</v>
      </c>
      <c r="AG59" s="19">
        <f t="shared" si="150"/>
        <v>16</v>
      </c>
      <c r="AH59" s="1188">
        <f t="shared" si="151"/>
        <v>28</v>
      </c>
      <c r="AI59" s="19">
        <f t="shared" si="152"/>
        <v>920</v>
      </c>
      <c r="AJ59" s="1100">
        <f t="shared" si="153"/>
        <v>280.416</v>
      </c>
      <c r="AK59" s="1146">
        <f t="shared" si="154"/>
        <v>1</v>
      </c>
      <c r="AL59" s="97">
        <f t="shared" si="155"/>
        <v>420</v>
      </c>
      <c r="AM59" s="75">
        <f t="shared" si="156"/>
        <v>1.0614600965996293E-2</v>
      </c>
      <c r="AN59" s="75">
        <f t="shared" si="157"/>
        <v>3.0968103619063541E-4</v>
      </c>
      <c r="AO59" s="75">
        <f t="shared" si="158"/>
        <v>1.0924282002186928E-2</v>
      </c>
      <c r="AP59" s="75">
        <f t="shared" si="163"/>
        <v>3.5924282002186933E-2</v>
      </c>
      <c r="AQ59" s="12">
        <f t="shared" si="164"/>
        <v>314.48234445533137</v>
      </c>
      <c r="AR59" s="13" t="str">
        <f t="shared" si="159"/>
        <v>Infl</v>
      </c>
      <c r="AS59" s="12">
        <f t="shared" si="160"/>
        <v>-314.48234445533137</v>
      </c>
      <c r="AT59" s="98">
        <f t="shared" si="165"/>
        <v>-3.2354150664128743E-2</v>
      </c>
      <c r="AU59" s="12">
        <f t="shared" si="161"/>
        <v>-6284.9875186911786</v>
      </c>
      <c r="AV59" s="1047">
        <f t="shared" si="162"/>
        <v>-1018.9227960352737</v>
      </c>
    </row>
    <row r="60" spans="2:48" ht="21" customHeight="1">
      <c r="B60" s="1168">
        <f>'Input-Output'!BK55</f>
        <v>17</v>
      </c>
      <c r="C60" s="19">
        <f>'Input-Output'!BL55</f>
        <v>13</v>
      </c>
      <c r="D60" s="1188">
        <f>'Input-Output'!BM55</f>
        <v>25</v>
      </c>
      <c r="E60" s="19">
        <f>'Input-Output'!BN55</f>
        <v>879.5</v>
      </c>
      <c r="F60" s="19">
        <f>'Input-Output'!BO55</f>
        <v>268.07159999999999</v>
      </c>
      <c r="G60" s="20">
        <f t="shared" si="127"/>
        <v>98.146010383992689</v>
      </c>
      <c r="H60" s="20">
        <f t="shared" si="128"/>
        <v>29.061527778795483</v>
      </c>
      <c r="I60" s="20">
        <f t="shared" si="129"/>
        <v>394.40619817152276</v>
      </c>
      <c r="J60" s="20">
        <f t="shared" si="130"/>
        <v>14.234869724833441</v>
      </c>
      <c r="K60" s="20">
        <f t="shared" si="131"/>
        <v>7.8991596638655466</v>
      </c>
      <c r="L60" s="27">
        <f t="shared" si="132"/>
        <v>93.648979999999995</v>
      </c>
      <c r="M60" s="17">
        <f t="shared" si="133"/>
        <v>74.111969999999999</v>
      </c>
      <c r="N60" s="22">
        <f t="shared" si="134"/>
        <v>65.292194201008314</v>
      </c>
      <c r="O60" s="23">
        <f t="shared" si="135"/>
        <v>1.4236744043471757E-2</v>
      </c>
      <c r="P60" s="22">
        <f t="shared" si="136"/>
        <v>40.645672493960575</v>
      </c>
      <c r="Q60" s="102">
        <f t="shared" si="137"/>
        <v>14.691077287942008</v>
      </c>
      <c r="R60" s="106">
        <f t="shared" si="138"/>
        <v>6.8068527610345486E-2</v>
      </c>
      <c r="S60" s="32">
        <f t="shared" si="139"/>
        <v>38.17290654196087</v>
      </c>
      <c r="T60" s="24">
        <f t="shared" si="140"/>
        <v>553.34897999999998</v>
      </c>
      <c r="U60" s="66">
        <f t="shared" si="141"/>
        <v>533.81196999999997</v>
      </c>
      <c r="W60" s="1202">
        <f t="shared" si="142"/>
        <v>0.41790217779747602</v>
      </c>
      <c r="X60" s="21">
        <f t="shared" si="143"/>
        <v>1.8812144970423265E-2</v>
      </c>
      <c r="Y60" s="23">
        <f t="shared" si="144"/>
        <v>0.78369083126358274</v>
      </c>
      <c r="Z60" s="21">
        <f t="shared" si="145"/>
        <v>1.6001185115992749</v>
      </c>
      <c r="AA60" s="21">
        <f t="shared" si="146"/>
        <v>0.65031537816723228</v>
      </c>
      <c r="AB60" s="21">
        <f t="shared" si="147"/>
        <v>-1.1441162015248378</v>
      </c>
      <c r="AC60" s="70">
        <f t="shared" si="148"/>
        <v>3.6237717681558521E-2</v>
      </c>
      <c r="AF60" s="1168">
        <f t="shared" si="149"/>
        <v>17</v>
      </c>
      <c r="AG60" s="19">
        <f t="shared" si="150"/>
        <v>13</v>
      </c>
      <c r="AH60" s="1188">
        <f t="shared" si="151"/>
        <v>25</v>
      </c>
      <c r="AI60" s="19">
        <f t="shared" si="152"/>
        <v>879.5</v>
      </c>
      <c r="AJ60" s="1100">
        <f t="shared" si="153"/>
        <v>268.07159999999999</v>
      </c>
      <c r="AK60" s="1146">
        <f t="shared" si="154"/>
        <v>1</v>
      </c>
      <c r="AL60" s="97">
        <f t="shared" si="155"/>
        <v>379.5</v>
      </c>
      <c r="AM60" s="75">
        <f t="shared" si="156"/>
        <v>1.2559611167483534E-2</v>
      </c>
      <c r="AN60" s="75">
        <f t="shared" si="157"/>
        <v>2.871143088315435E-4</v>
      </c>
      <c r="AO60" s="75">
        <f t="shared" si="158"/>
        <v>1.2846725476315077E-2</v>
      </c>
      <c r="AP60" s="75">
        <f t="shared" si="163"/>
        <v>3.7846725476315082E-2</v>
      </c>
      <c r="AQ60" s="12">
        <f t="shared" si="164"/>
        <v>322.59704229085253</v>
      </c>
      <c r="AR60" s="13" t="str">
        <f t="shared" si="159"/>
        <v>Infl</v>
      </c>
      <c r="AS60" s="12">
        <f t="shared" si="160"/>
        <v>-322.59704229085253</v>
      </c>
      <c r="AT60" s="98">
        <f t="shared" si="165"/>
        <v>-3.3188996120458079E-2</v>
      </c>
      <c r="AU60" s="12">
        <f t="shared" si="161"/>
        <v>-6497.3942529205633</v>
      </c>
      <c r="AV60" s="1047">
        <f t="shared" si="162"/>
        <v>-1045.2144170223623</v>
      </c>
    </row>
    <row r="61" spans="2:48" ht="21" customHeight="1">
      <c r="B61" s="1168">
        <f>'Input-Output'!BK56</f>
        <v>16</v>
      </c>
      <c r="C61" s="19">
        <f>'Input-Output'!BL56</f>
        <v>10</v>
      </c>
      <c r="D61" s="1188">
        <f>'Input-Output'!BM56</f>
        <v>22</v>
      </c>
      <c r="E61" s="19">
        <f>'Input-Output'!BN56</f>
        <v>839</v>
      </c>
      <c r="F61" s="19">
        <f>'Input-Output'!BO56</f>
        <v>255.72720000000001</v>
      </c>
      <c r="G61" s="20">
        <f t="shared" si="127"/>
        <v>98.290602483392121</v>
      </c>
      <c r="H61" s="20">
        <f t="shared" si="128"/>
        <v>29.104342227358909</v>
      </c>
      <c r="I61" s="20">
        <f t="shared" si="129"/>
        <v>394.98725103334209</v>
      </c>
      <c r="J61" s="20">
        <f t="shared" si="130"/>
        <v>14.255841027590815</v>
      </c>
      <c r="K61" s="20">
        <f t="shared" si="131"/>
        <v>7.5897631779984724</v>
      </c>
      <c r="L61" s="27">
        <f t="shared" si="132"/>
        <v>93.79316</v>
      </c>
      <c r="M61" s="17">
        <f t="shared" si="133"/>
        <v>74.206739999999996</v>
      </c>
      <c r="N61" s="22">
        <f t="shared" si="134"/>
        <v>65.375903918719104</v>
      </c>
      <c r="O61" s="23">
        <f t="shared" si="135"/>
        <v>1.425782685125482E-2</v>
      </c>
      <c r="P61" s="22">
        <f t="shared" si="136"/>
        <v>40.583362312472545</v>
      </c>
      <c r="Q61" s="102">
        <f t="shared" si="137"/>
        <v>14.673774232498861</v>
      </c>
      <c r="R61" s="106">
        <f t="shared" si="138"/>
        <v>6.814879281604605E-2</v>
      </c>
      <c r="S61" s="32">
        <f t="shared" si="139"/>
        <v>38.231667955171105</v>
      </c>
      <c r="T61" s="24">
        <f t="shared" si="140"/>
        <v>553.49315999999999</v>
      </c>
      <c r="U61" s="66">
        <f t="shared" si="141"/>
        <v>533.90674000000001</v>
      </c>
      <c r="W61" s="1202">
        <f t="shared" si="142"/>
        <v>0.41923167366623271</v>
      </c>
      <c r="X61" s="21">
        <f t="shared" si="143"/>
        <v>1.8845203309361614E-2</v>
      </c>
      <c r="Y61" s="23">
        <f t="shared" si="144"/>
        <v>0.78718836912298629</v>
      </c>
      <c r="Z61" s="21">
        <f t="shared" si="145"/>
        <v>1.607259688770925</v>
      </c>
      <c r="AA61" s="21">
        <f t="shared" si="146"/>
        <v>0.65221628545886723</v>
      </c>
      <c r="AB61" s="21">
        <f t="shared" si="147"/>
        <v>-1.1411974108431859</v>
      </c>
      <c r="AC61" s="70">
        <f t="shared" si="148"/>
        <v>3.6352219798265466E-2</v>
      </c>
      <c r="AF61" s="1168">
        <f t="shared" si="149"/>
        <v>16</v>
      </c>
      <c r="AG61" s="19">
        <f t="shared" si="150"/>
        <v>10</v>
      </c>
      <c r="AH61" s="1188">
        <f t="shared" si="151"/>
        <v>22</v>
      </c>
      <c r="AI61" s="19">
        <f t="shared" si="152"/>
        <v>839</v>
      </c>
      <c r="AJ61" s="1100">
        <f t="shared" si="153"/>
        <v>255.72720000000001</v>
      </c>
      <c r="AK61" s="1146">
        <f t="shared" si="154"/>
        <v>1</v>
      </c>
      <c r="AL61" s="97">
        <f t="shared" si="155"/>
        <v>339</v>
      </c>
      <c r="AM61" s="75">
        <f t="shared" si="156"/>
        <v>1.4537823864512238E-2</v>
      </c>
      <c r="AN61" s="75">
        <f t="shared" si="157"/>
        <v>2.6537579786441374E-4</v>
      </c>
      <c r="AO61" s="75">
        <f t="shared" si="158"/>
        <v>1.4803199662376651E-2</v>
      </c>
      <c r="AP61" s="75">
        <f t="shared" si="163"/>
        <v>3.9803199662376651E-2</v>
      </c>
      <c r="AQ61" s="12">
        <f t="shared" si="164"/>
        <v>330.63537209142504</v>
      </c>
      <c r="AR61" s="13" t="str">
        <f t="shared" si="159"/>
        <v>Infl</v>
      </c>
      <c r="AS61" s="12">
        <f t="shared" si="160"/>
        <v>-330.63537209142504</v>
      </c>
      <c r="AT61" s="98">
        <f t="shared" si="165"/>
        <v>-3.4015984783068422E-2</v>
      </c>
      <c r="AU61" s="12">
        <f t="shared" si="161"/>
        <v>-6710.7781253235808</v>
      </c>
      <c r="AV61" s="1047">
        <f t="shared" si="162"/>
        <v>-1071.2586055762172</v>
      </c>
    </row>
    <row r="62" spans="2:48" ht="21" customHeight="1">
      <c r="B62" s="1168">
        <f>'Input-Output'!BK57</f>
        <v>15</v>
      </c>
      <c r="C62" s="19">
        <f>'Input-Output'!BL57</f>
        <v>7</v>
      </c>
      <c r="D62" s="1188">
        <f>'Input-Output'!BM57</f>
        <v>19</v>
      </c>
      <c r="E62" s="19">
        <f>'Input-Output'!BN57</f>
        <v>798.5</v>
      </c>
      <c r="F62" s="19">
        <f>'Input-Output'!BO57</f>
        <v>243.3828</v>
      </c>
      <c r="G62" s="20">
        <f t="shared" si="127"/>
        <v>98.435367020135004</v>
      </c>
      <c r="H62" s="20">
        <f t="shared" si="128"/>
        <v>29.147207735487846</v>
      </c>
      <c r="I62" s="20">
        <f t="shared" si="129"/>
        <v>395.56899684596794</v>
      </c>
      <c r="J62" s="20">
        <f t="shared" si="130"/>
        <v>14.276837340260565</v>
      </c>
      <c r="K62" s="20">
        <f t="shared" si="131"/>
        <v>7.2803666921313983</v>
      </c>
      <c r="L62" s="27">
        <f t="shared" si="132"/>
        <v>93.937340000000006</v>
      </c>
      <c r="M62" s="17">
        <f t="shared" si="133"/>
        <v>74.301509999999993</v>
      </c>
      <c r="N62" s="22">
        <f t="shared" si="134"/>
        <v>65.459651314163381</v>
      </c>
      <c r="O62" s="23">
        <f t="shared" si="135"/>
        <v>1.4278950203542574E-2</v>
      </c>
      <c r="P62" s="22">
        <f t="shared" si="136"/>
        <v>40.521261812958805</v>
      </c>
      <c r="Q62" s="102">
        <f t="shared" si="137"/>
        <v>14.656497522092854</v>
      </c>
      <c r="R62" s="106">
        <f t="shared" si="138"/>
        <v>6.8229124897856666E-2</v>
      </c>
      <c r="S62" s="32">
        <f t="shared" si="139"/>
        <v>38.290476776408951</v>
      </c>
      <c r="T62" s="24">
        <f t="shared" si="140"/>
        <v>553.63733999999999</v>
      </c>
      <c r="U62" s="66">
        <f t="shared" si="141"/>
        <v>534.00150999999994</v>
      </c>
      <c r="W62" s="1202">
        <f t="shared" si="142"/>
        <v>0.42056486155685646</v>
      </c>
      <c r="X62" s="21">
        <f t="shared" si="143"/>
        <v>1.887830460848482E-2</v>
      </c>
      <c r="Y62" s="23">
        <f t="shared" si="144"/>
        <v>0.79069942933498982</v>
      </c>
      <c r="Z62" s="21">
        <f t="shared" si="145"/>
        <v>1.6144284755123854</v>
      </c>
      <c r="AA62" s="21">
        <f t="shared" si="146"/>
        <v>0.65412286568888356</v>
      </c>
      <c r="AB62" s="21">
        <f t="shared" si="147"/>
        <v>-1.1382784420867598</v>
      </c>
      <c r="AC62" s="70">
        <f t="shared" si="148"/>
        <v>3.646701778567412E-2</v>
      </c>
      <c r="AF62" s="1168">
        <f t="shared" si="149"/>
        <v>15</v>
      </c>
      <c r="AG62" s="19">
        <f t="shared" si="150"/>
        <v>7</v>
      </c>
      <c r="AH62" s="1188">
        <f t="shared" si="151"/>
        <v>19</v>
      </c>
      <c r="AI62" s="19">
        <f t="shared" si="152"/>
        <v>798.5</v>
      </c>
      <c r="AJ62" s="1100">
        <f t="shared" si="153"/>
        <v>243.3828</v>
      </c>
      <c r="AK62" s="1146">
        <f t="shared" si="154"/>
        <v>1</v>
      </c>
      <c r="AL62" s="97">
        <f t="shared" si="155"/>
        <v>298.5</v>
      </c>
      <c r="AM62" s="75">
        <f t="shared" si="156"/>
        <v>1.6549346017788544E-2</v>
      </c>
      <c r="AN62" s="75">
        <f t="shared" si="157"/>
        <v>2.4446855482486055E-4</v>
      </c>
      <c r="AO62" s="75">
        <f t="shared" si="158"/>
        <v>1.6793814572613405E-2</v>
      </c>
      <c r="AP62" s="75">
        <f t="shared" si="163"/>
        <v>4.1793814572613407E-2</v>
      </c>
      <c r="AQ62" s="12">
        <f t="shared" si="164"/>
        <v>338.6027724365988</v>
      </c>
      <c r="AR62" s="13" t="str">
        <f t="shared" si="159"/>
        <v>Infl</v>
      </c>
      <c r="AS62" s="12">
        <f t="shared" si="160"/>
        <v>-338.6027724365988</v>
      </c>
      <c r="AT62" s="98">
        <f t="shared" si="165"/>
        <v>-3.4835676176604817E-2</v>
      </c>
      <c r="AU62" s="12">
        <f t="shared" si="161"/>
        <v>-6925.2146927004624</v>
      </c>
      <c r="AV62" s="1047">
        <f t="shared" si="162"/>
        <v>-1097.0729826945803</v>
      </c>
    </row>
    <row r="63" spans="2:48" ht="21" customHeight="1">
      <c r="B63" s="1168">
        <f>'Input-Output'!BK58</f>
        <v>14</v>
      </c>
      <c r="C63" s="19">
        <f>'Input-Output'!BL58</f>
        <v>5</v>
      </c>
      <c r="D63" s="1188">
        <f>'Input-Output'!BM58</f>
        <v>17</v>
      </c>
      <c r="E63" s="19">
        <f>'Input-Output'!BN58</f>
        <v>771.5</v>
      </c>
      <c r="F63" s="19">
        <f>'Input-Output'!BO58</f>
        <v>235.1532</v>
      </c>
      <c r="G63" s="20">
        <f t="shared" si="127"/>
        <v>98.531972587484262</v>
      </c>
      <c r="H63" s="20">
        <f t="shared" si="128"/>
        <v>29.175813130328883</v>
      </c>
      <c r="I63" s="20">
        <f t="shared" si="129"/>
        <v>395.95721267248348</v>
      </c>
      <c r="J63" s="20">
        <f t="shared" si="130"/>
        <v>14.290848787700252</v>
      </c>
      <c r="K63" s="20">
        <f t="shared" si="131"/>
        <v>7.0741023682200153</v>
      </c>
      <c r="L63" s="27">
        <f t="shared" si="132"/>
        <v>94.033460000000005</v>
      </c>
      <c r="M63" s="17">
        <f t="shared" si="133"/>
        <v>74.364689999999996</v>
      </c>
      <c r="N63" s="22">
        <f t="shared" si="134"/>
        <v>65.515503816502601</v>
      </c>
      <c r="O63" s="23">
        <f t="shared" si="135"/>
        <v>1.4293054977520109E-2</v>
      </c>
      <c r="P63" s="22">
        <f t="shared" si="136"/>
        <v>40.479977517000854</v>
      </c>
      <c r="Q63" s="102">
        <f t="shared" si="137"/>
        <v>14.644994327896899</v>
      </c>
      <c r="R63" s="106">
        <f t="shared" si="138"/>
        <v>6.8282716784336603E-2</v>
      </c>
      <c r="S63" s="32">
        <f t="shared" si="139"/>
        <v>38.329709014745696</v>
      </c>
      <c r="T63" s="24">
        <f t="shared" si="140"/>
        <v>553.73346000000004</v>
      </c>
      <c r="U63" s="66">
        <f t="shared" si="141"/>
        <v>534.06468999999993</v>
      </c>
      <c r="W63" s="1202">
        <f t="shared" si="142"/>
        <v>0.4214557088680449</v>
      </c>
      <c r="X63" s="21">
        <f t="shared" si="143"/>
        <v>1.8900396023949041E-2</v>
      </c>
      <c r="Y63" s="23">
        <f t="shared" si="144"/>
        <v>0.79304767002594201</v>
      </c>
      <c r="Z63" s="21">
        <f t="shared" si="145"/>
        <v>1.6192230491495747</v>
      </c>
      <c r="AA63" s="21">
        <f t="shared" si="146"/>
        <v>0.65539707806796421</v>
      </c>
      <c r="AB63" s="21">
        <f t="shared" si="147"/>
        <v>-1.1363323659123599</v>
      </c>
      <c r="AC63" s="70">
        <f t="shared" si="148"/>
        <v>3.6543714454115826E-2</v>
      </c>
      <c r="AF63" s="1168">
        <f t="shared" si="149"/>
        <v>14</v>
      </c>
      <c r="AG63" s="19">
        <f t="shared" si="150"/>
        <v>5</v>
      </c>
      <c r="AH63" s="1188">
        <f t="shared" si="151"/>
        <v>17</v>
      </c>
      <c r="AI63" s="19">
        <f t="shared" si="152"/>
        <v>771.5</v>
      </c>
      <c r="AJ63" s="1100">
        <f t="shared" si="153"/>
        <v>235.1532</v>
      </c>
      <c r="AK63" s="1146">
        <f t="shared" si="154"/>
        <v>1</v>
      </c>
      <c r="AL63" s="97">
        <f t="shared" si="155"/>
        <v>271.5</v>
      </c>
      <c r="AM63" s="75">
        <f t="shared" si="156"/>
        <v>1.790891893779167E-2</v>
      </c>
      <c r="AN63" s="75">
        <f t="shared" si="157"/>
        <v>2.3099371758180745E-4</v>
      </c>
      <c r="AO63" s="75">
        <f t="shared" si="158"/>
        <v>1.8139912655373479E-2</v>
      </c>
      <c r="AP63" s="75">
        <f t="shared" si="163"/>
        <v>4.313991265537348E-2</v>
      </c>
      <c r="AQ63" s="12">
        <f t="shared" si="164"/>
        <v>343.87740371556862</v>
      </c>
      <c r="AR63" s="13" t="str">
        <f t="shared" si="159"/>
        <v>Infl</v>
      </c>
      <c r="AS63" s="12">
        <f t="shared" si="160"/>
        <v>-343.87740371556862</v>
      </c>
      <c r="AT63" s="98">
        <f t="shared" si="165"/>
        <v>-3.5378333715593478E-2</v>
      </c>
      <c r="AU63" s="12">
        <f t="shared" si="161"/>
        <v>-7068.7909532060594</v>
      </c>
      <c r="AV63" s="1047">
        <f t="shared" si="162"/>
        <v>-1114.1627880384424</v>
      </c>
    </row>
    <row r="64" spans="2:48" ht="21" customHeight="1">
      <c r="B64" s="1168">
        <f>'Input-Output'!BK59</f>
        <v>13</v>
      </c>
      <c r="C64" s="19">
        <f>'Input-Output'!BL59</f>
        <v>3</v>
      </c>
      <c r="D64" s="1188">
        <f>'Input-Output'!BM59</f>
        <v>15</v>
      </c>
      <c r="E64" s="19">
        <f>'Input-Output'!BN59</f>
        <v>744.5</v>
      </c>
      <c r="F64" s="19">
        <f>'Input-Output'!BO59</f>
        <v>226.92360000000002</v>
      </c>
      <c r="G64" s="20">
        <f t="shared" si="127"/>
        <v>98.628654910176365</v>
      </c>
      <c r="H64" s="20">
        <f t="shared" si="128"/>
        <v>29.204441252813353</v>
      </c>
      <c r="I64" s="20">
        <f t="shared" si="129"/>
        <v>396.34573694539273</v>
      </c>
      <c r="J64" s="20">
        <f t="shared" si="130"/>
        <v>14.304871367556853</v>
      </c>
      <c r="K64" s="20">
        <f t="shared" si="131"/>
        <v>6.8678380443086322</v>
      </c>
      <c r="L64" s="27">
        <f t="shared" si="132"/>
        <v>94.129580000000004</v>
      </c>
      <c r="M64" s="17">
        <f t="shared" si="133"/>
        <v>74.427869999999999</v>
      </c>
      <c r="N64" s="22">
        <f t="shared" si="134"/>
        <v>65.57137302455277</v>
      </c>
      <c r="O64" s="23">
        <f t="shared" si="135"/>
        <v>1.4307177792867781E-2</v>
      </c>
      <c r="P64" s="22">
        <f t="shared" si="136"/>
        <v>40.438785734999925</v>
      </c>
      <c r="Q64" s="102">
        <f t="shared" si="137"/>
        <v>14.633502807549013</v>
      </c>
      <c r="R64" s="106">
        <f t="shared" si="138"/>
        <v>6.8336338411342512E-2</v>
      </c>
      <c r="S64" s="32">
        <f t="shared" si="139"/>
        <v>38.368962352895537</v>
      </c>
      <c r="T64" s="24">
        <f t="shared" si="140"/>
        <v>553.82957999999996</v>
      </c>
      <c r="U64" s="66">
        <f t="shared" si="141"/>
        <v>534.12787000000003</v>
      </c>
      <c r="W64" s="1202">
        <f t="shared" si="142"/>
        <v>0.42234820347368901</v>
      </c>
      <c r="X64" s="21">
        <f t="shared" si="143"/>
        <v>1.8922506556747671E-2</v>
      </c>
      <c r="Y64" s="23">
        <f t="shared" si="144"/>
        <v>0.79540195287965276</v>
      </c>
      <c r="Z64" s="21">
        <f t="shared" si="145"/>
        <v>1.6240299595094796</v>
      </c>
      <c r="AA64" s="21">
        <f t="shared" si="146"/>
        <v>0.65667382265147767</v>
      </c>
      <c r="AB64" s="21">
        <f t="shared" si="147"/>
        <v>-1.1343862134814404</v>
      </c>
      <c r="AC64" s="70">
        <f t="shared" si="148"/>
        <v>3.6620543077332063E-2</v>
      </c>
      <c r="AF64" s="1168">
        <f t="shared" si="149"/>
        <v>13</v>
      </c>
      <c r="AG64" s="19">
        <f t="shared" si="150"/>
        <v>3</v>
      </c>
      <c r="AH64" s="1188">
        <f t="shared" si="151"/>
        <v>15</v>
      </c>
      <c r="AI64" s="19">
        <f t="shared" si="152"/>
        <v>744.5</v>
      </c>
      <c r="AJ64" s="1100">
        <f t="shared" si="153"/>
        <v>226.92360000000002</v>
      </c>
      <c r="AK64" s="1146">
        <f t="shared" si="154"/>
        <v>1</v>
      </c>
      <c r="AL64" s="97">
        <f t="shared" si="155"/>
        <v>244.5</v>
      </c>
      <c r="AM64" s="75">
        <f t="shared" si="156"/>
        <v>1.9283375456486535E-2</v>
      </c>
      <c r="AN64" s="75">
        <f t="shared" si="157"/>
        <v>2.1789059814086387E-4</v>
      </c>
      <c r="AO64" s="75">
        <f t="shared" si="158"/>
        <v>1.95012660546274E-2</v>
      </c>
      <c r="AP64" s="75">
        <f t="shared" si="163"/>
        <v>4.4501266054627397E-2</v>
      </c>
      <c r="AQ64" s="12">
        <f t="shared" si="164"/>
        <v>349.12402471848196</v>
      </c>
      <c r="AR64" s="13" t="str">
        <f t="shared" si="159"/>
        <v>Infl</v>
      </c>
      <c r="AS64" s="12">
        <f t="shared" si="160"/>
        <v>-349.12402471848196</v>
      </c>
      <c r="AT64" s="98">
        <f t="shared" si="165"/>
        <v>-3.5918109538938474E-2</v>
      </c>
      <c r="AU64" s="12">
        <f t="shared" si="161"/>
        <v>-7212.8836376361141</v>
      </c>
      <c r="AV64" s="1047">
        <f t="shared" si="162"/>
        <v>-1131.1618400878815</v>
      </c>
    </row>
    <row r="65" spans="2:48" ht="21" customHeight="1" thickBot="1">
      <c r="B65" s="1168">
        <f>'Input-Output'!BK60</f>
        <v>12</v>
      </c>
      <c r="C65" s="19">
        <f>'Input-Output'!BL60</f>
        <v>1</v>
      </c>
      <c r="D65" s="1188">
        <f>'Input-Output'!BM60</f>
        <v>13</v>
      </c>
      <c r="E65" s="19">
        <f>'Input-Output'!BN60</f>
        <v>717.5</v>
      </c>
      <c r="F65" s="19">
        <f>'Input-Output'!BO60</f>
        <v>218.69400000000002</v>
      </c>
      <c r="G65" s="20">
        <f t="shared" si="127"/>
        <v>98.725414034855802</v>
      </c>
      <c r="H65" s="20">
        <f t="shared" si="128"/>
        <v>29.233092116752925</v>
      </c>
      <c r="I65" s="20">
        <f t="shared" si="129"/>
        <v>396.73456985213966</v>
      </c>
      <c r="J65" s="20">
        <f t="shared" si="130"/>
        <v>14.318905086595578</v>
      </c>
      <c r="K65" s="20">
        <f t="shared" si="131"/>
        <v>6.66157372039725</v>
      </c>
      <c r="L65" s="27">
        <f t="shared" si="132"/>
        <v>94.225700000000003</v>
      </c>
      <c r="M65" s="17">
        <f t="shared" si="133"/>
        <v>74.491050000000001</v>
      </c>
      <c r="N65" s="22">
        <f t="shared" si="134"/>
        <v>65.627258922454928</v>
      </c>
      <c r="O65" s="23">
        <f t="shared" si="135"/>
        <v>1.4321318658220037E-2</v>
      </c>
      <c r="P65" s="22">
        <f t="shared" si="136"/>
        <v>40.397686197423042</v>
      </c>
      <c r="Q65" s="102">
        <f t="shared" si="137"/>
        <v>14.622022947060934</v>
      </c>
      <c r="R65" s="106">
        <f t="shared" si="138"/>
        <v>6.8389989785989411E-2</v>
      </c>
      <c r="S65" s="32">
        <f t="shared" si="139"/>
        <v>38.408236802690723</v>
      </c>
      <c r="T65" s="24">
        <f t="shared" si="140"/>
        <v>553.92570000000001</v>
      </c>
      <c r="U65" s="66">
        <f t="shared" si="141"/>
        <v>534.19105000000002</v>
      </c>
      <c r="W65" s="1202">
        <f t="shared" si="142"/>
        <v>0.42324234793774695</v>
      </c>
      <c r="X65" s="21">
        <f t="shared" si="143"/>
        <v>1.8944636216447687E-2</v>
      </c>
      <c r="Y65" s="23">
        <f t="shared" si="144"/>
        <v>0.79776229082551309</v>
      </c>
      <c r="Z65" s="21">
        <f t="shared" si="145"/>
        <v>1.6288492329909769</v>
      </c>
      <c r="AA65" s="21">
        <f t="shared" si="146"/>
        <v>0.65795310380928806</v>
      </c>
      <c r="AB65" s="21">
        <f t="shared" si="147"/>
        <v>-1.1324399859459073</v>
      </c>
      <c r="AC65" s="70">
        <f t="shared" si="148"/>
        <v>3.6697503838424121E-2</v>
      </c>
      <c r="AF65" s="1168">
        <f t="shared" si="149"/>
        <v>12</v>
      </c>
      <c r="AG65" s="19">
        <f t="shared" si="150"/>
        <v>1</v>
      </c>
      <c r="AH65" s="1188">
        <f t="shared" si="151"/>
        <v>13</v>
      </c>
      <c r="AI65" s="19">
        <f t="shared" si="152"/>
        <v>717.5</v>
      </c>
      <c r="AJ65" s="1100">
        <f t="shared" si="153"/>
        <v>218.69400000000002</v>
      </c>
      <c r="AK65" s="1146">
        <f t="shared" si="154"/>
        <v>1</v>
      </c>
      <c r="AL65" s="97">
        <f t="shared" si="155"/>
        <v>217.5</v>
      </c>
      <c r="AM65" s="75">
        <f t="shared" si="156"/>
        <v>2.067274739293963E-2</v>
      </c>
      <c r="AN65" s="75">
        <f t="shared" si="157"/>
        <v>2.051601044864725E-4</v>
      </c>
      <c r="AO65" s="75">
        <f t="shared" si="158"/>
        <v>2.0877907497426101E-2</v>
      </c>
      <c r="AP65" s="75">
        <f t="shared" si="163"/>
        <v>4.5877907497426103E-2</v>
      </c>
      <c r="AQ65" s="12">
        <f t="shared" si="164"/>
        <v>354.34387956434352</v>
      </c>
      <c r="AR65" s="13" t="str">
        <f t="shared" si="159"/>
        <v>Infl</v>
      </c>
      <c r="AS65" s="12">
        <f t="shared" si="160"/>
        <v>-354.34387956434352</v>
      </c>
      <c r="AT65" s="98">
        <f t="shared" si="165"/>
        <v>-3.6455131642422173E-2</v>
      </c>
      <c r="AU65" s="12">
        <f t="shared" si="161"/>
        <v>-7357.509855367417</v>
      </c>
      <c r="AV65" s="1047">
        <f t="shared" si="162"/>
        <v>-1148.074169788473</v>
      </c>
    </row>
    <row r="66" spans="2:48" ht="21" customHeight="1">
      <c r="B66" s="1179" t="str">
        <f>'Input-Output'!BK61</f>
        <v>Section &gt;&gt;</v>
      </c>
      <c r="C66" s="1079"/>
      <c r="D66" s="1080" t="str">
        <f>'Input-Output'!BM61</f>
        <v>3-Fin</v>
      </c>
      <c r="E66" s="1079" t="s">
        <v>873</v>
      </c>
      <c r="F66" s="1081">
        <f>'Input-Output'!BO61</f>
        <v>6</v>
      </c>
      <c r="G66" s="1082" t="s">
        <v>867</v>
      </c>
      <c r="H66" s="1083"/>
      <c r="I66" s="1081">
        <f>'Input-Output'!BD44</f>
        <v>90</v>
      </c>
      <c r="J66" s="1083" t="s">
        <v>874</v>
      </c>
      <c r="K66" s="1084">
        <f>'Input-Output'!BD46</f>
        <v>800</v>
      </c>
      <c r="L66" s="1073" t="s">
        <v>885</v>
      </c>
      <c r="M66" s="1085"/>
      <c r="N66" s="1086"/>
      <c r="O66" s="1081">
        <f>'Input-Output'!BD47</f>
        <v>12000</v>
      </c>
      <c r="P66" s="1087" t="s">
        <v>869</v>
      </c>
      <c r="Q66" s="1088"/>
      <c r="R66" s="1081">
        <f>'Input-Output'!BD45</f>
        <v>230400</v>
      </c>
      <c r="S66" s="1087" t="s">
        <v>868</v>
      </c>
      <c r="T66" s="1089"/>
      <c r="U66" s="1090">
        <f>'Input-Output'!BD50</f>
        <v>65</v>
      </c>
      <c r="W66" s="1111" t="s">
        <v>103</v>
      </c>
      <c r="X66" s="1112"/>
      <c r="Y66" s="1112"/>
      <c r="Z66" s="1113">
        <f>'Input-Output'!BD32</f>
        <v>2.5000000000000001E-2</v>
      </c>
      <c r="AA66" s="35" t="s">
        <v>102</v>
      </c>
      <c r="AB66" s="10"/>
      <c r="AC66" s="1057">
        <f>'Input-Output'!BD31</f>
        <v>0.65</v>
      </c>
      <c r="AF66" s="1166" t="str">
        <f>B66</f>
        <v>Section &gt;&gt;</v>
      </c>
      <c r="AG66" s="1104"/>
      <c r="AH66" s="1105" t="str">
        <f>D66</f>
        <v>3-Fin</v>
      </c>
      <c r="AI66" s="1104" t="str">
        <f>E66</f>
        <v>Flrs/S</v>
      </c>
      <c r="AJ66" s="1106">
        <f>F66</f>
        <v>6</v>
      </c>
      <c r="AK66" s="1207">
        <f>SUM(AK67:AK70)</f>
        <v>4</v>
      </c>
      <c r="AL66" s="1114" t="s">
        <v>112</v>
      </c>
      <c r="AM66" s="1115"/>
      <c r="AN66" s="1116">
        <f>'Input-Output'!BD55</f>
        <v>9.6840000000000011</v>
      </c>
      <c r="AO66" s="1114" t="s">
        <v>882</v>
      </c>
      <c r="AP66" s="1117"/>
      <c r="AQ66" s="1118"/>
      <c r="AR66" s="1080">
        <f xml:space="preserve"> (SUM(AQ67:AQ70)/AK66) * AJ66</f>
        <v>2675.9955150898577</v>
      </c>
      <c r="AS66" s="1114" t="s">
        <v>884</v>
      </c>
      <c r="AT66" s="1117"/>
      <c r="AU66" s="1118"/>
      <c r="AV66" s="1148">
        <f xml:space="preserve"> (SUM(AV67:AV70)/AK66) * AJ66</f>
        <v>-8670.225468891138</v>
      </c>
    </row>
    <row r="67" spans="2:48" ht="21" customHeight="1">
      <c r="B67" s="1168">
        <f>'Input-Output'!BK62</f>
        <v>11</v>
      </c>
      <c r="C67" s="19">
        <f>'Input-Output'!BL62</f>
        <v>6</v>
      </c>
      <c r="D67" s="1188">
        <f>'Input-Output'!BM62</f>
        <v>12</v>
      </c>
      <c r="E67" s="19">
        <f>'Input-Output'!BN62</f>
        <v>704</v>
      </c>
      <c r="F67" s="19">
        <f>'Input-Output'!BO62</f>
        <v>214.57920000000001</v>
      </c>
      <c r="G67" s="20">
        <f t="shared" ref="G67:G72" si="166">IF(E67="XX","XX",((101325*(1-2.25577*(10^(-5))*F67)^5.2555)/1000))</f>
        <v>98.773822412522634</v>
      </c>
      <c r="H67" s="20">
        <f t="shared" ref="H67:H72" si="167" xml:space="preserve"> IF(E67="XX", "XX", G67*$AJ$5)</f>
        <v>29.247426081086136</v>
      </c>
      <c r="I67" s="20">
        <f t="shared" ref="I67:I72" si="168">IF(E67="XX", "XX", G67*$AL$5)</f>
        <v>396.92910210180042</v>
      </c>
      <c r="J67" s="20">
        <f t="shared" ref="J67:J72" si="169" xml:space="preserve"> IF(E67="XX", "XX",G67*$AN$5)</f>
        <v>14.325926125423155</v>
      </c>
      <c r="K67" s="20">
        <f t="shared" ref="K67:K72" si="170" xml:space="preserve"> IF(E67="XX", "XX", ( $K$79 + $U$2 * (E67-$D$2)/$F$2 ) )</f>
        <v>6.5584415584415581</v>
      </c>
      <c r="L67" s="27">
        <f t="shared" ref="L67:L72" si="171" xml:space="preserve"> IF(E67="XX", "XX", $L$79 - $AA$2*(E67-$E$79))</f>
        <v>94.273759999999996</v>
      </c>
      <c r="M67" s="17">
        <f t="shared" ref="M67:M72" si="172">IF(E67="XX","XX ", $M$79-$AC$2*(E67-$E$79))</f>
        <v>74.522639999999996</v>
      </c>
      <c r="N67" s="22">
        <f t="shared" ref="N67:N72" si="173">IF(E67="XX","XX",100.45+33.193*AB67+2.319*AB67^2+0.17074*AB67^3+1.2063*(AA67*0.4897705)^3)</f>
        <v>65.65520812516327</v>
      </c>
      <c r="O67" s="23">
        <f t="shared" ref="O67:O72" si="174">IF(E67="XX","XX ",((1093-0.556*M67)*X67-0.24*(L67-M67))/(1093+0.444*L67-M67))</f>
        <v>1.4328395862346004E-2</v>
      </c>
      <c r="P67" s="22">
        <f t="shared" ref="P67:P72" si="175" xml:space="preserve"> IF(E67="XX", "XX", ((O67/AC67)/(1-(1-(O67/AC67))*(Y67/J67)))*100)</f>
        <v>40.377170936319814</v>
      </c>
      <c r="Q67" s="102">
        <f t="shared" ref="Q67:Q72" si="176" xml:space="preserve"> IF(E67="XX", "XX", 0.7543*(T67*(1+1.6078*O67))/H67)</f>
        <v>14.616287384898252</v>
      </c>
      <c r="R67" s="106">
        <f t="shared" ref="R67:R72" si="177" xml:space="preserve"> IF(E67="XX", "XX", 1/Q67)</f>
        <v>6.8416826630900388E-2</v>
      </c>
      <c r="S67" s="32">
        <f t="shared" ref="S67:S72" si="178">IF(E67="XX", "XX", 0.24*L67+O67*(1061+0.444*L67))</f>
        <v>38.42788194815315</v>
      </c>
      <c r="T67" s="24">
        <f t="shared" ref="T67:T72" si="179">IF(E67="XX", "XX", L67+459.7)</f>
        <v>553.97375999999997</v>
      </c>
      <c r="U67" s="66">
        <f t="shared" ref="U67:U72" si="180">IF(E67="XX", "XX", M67+459.7)</f>
        <v>534.22263999999996</v>
      </c>
      <c r="W67" s="1202">
        <f t="shared" ref="W67:W72" si="181" xml:space="preserve"> IF(E67="XX", "XX", EXP((-10440.397/U67)+(-11.29465) + (-0.027022355*U67) + (0.00001289036*U67*U67) + (-0.0000000024780681*U67^3)+(6.5459673*LN(U67))) )</f>
        <v>0.42369003966877922</v>
      </c>
      <c r="X67" s="21">
        <f t="shared" ref="X67:X72" si="182">IF(E67="XX", "XX", 0.62198*W67/(J67-W67))</f>
        <v>1.8955708221875412E-2</v>
      </c>
      <c r="Y67" s="23">
        <f t="shared" ref="Y67:Y72" si="183" xml:space="preserve"> IF(E67="XX", "XX", EXP((-10440.397/T67)+(-11.29465) + (-0.027022355*T67) + (0.00001289036*T67*T67) + (-0.0000000024780681*T67^3)+(6.5459673*LN(T67))) )</f>
        <v>0.79894473450425452</v>
      </c>
      <c r="Z67" s="21">
        <f t="shared" ref="Z67:Z72" si="184">IF(E67="XX", "XX", Y67*2.041772658 )</f>
        <v>1.6312635141638563</v>
      </c>
      <c r="AA67" s="21">
        <f t="shared" ref="AA67:AA72" si="185">IF(E67="XX", "XX", (H67*O67)/(0.62198+O67))</f>
        <v>0.65859369697074255</v>
      </c>
      <c r="AB67" s="21">
        <f t="shared" ref="AB67:AB72" si="186">IF(E67="XX", "XX", LN(AA67*0.4897705))</f>
        <v>-1.1314668443733802</v>
      </c>
      <c r="AC67" s="70">
        <f t="shared" ref="AC67:AC72" si="187">IF(E67="XX", "XX", 0.62198*(Y67/(J67-Y67)))</f>
        <v>3.6736033827958085E-2</v>
      </c>
      <c r="AF67" s="1168">
        <f t="shared" ref="AF67:AF72" si="188">B67</f>
        <v>11</v>
      </c>
      <c r="AG67" s="19">
        <f t="shared" ref="AG67:AG72" si="189">C67</f>
        <v>6</v>
      </c>
      <c r="AH67" s="1188">
        <f t="shared" ref="AH67:AH72" si="190">D67</f>
        <v>12</v>
      </c>
      <c r="AI67" s="19">
        <f t="shared" ref="AI67:AI72" si="191">E67</f>
        <v>704</v>
      </c>
      <c r="AJ67" s="1100">
        <f t="shared" ref="AJ67:AJ72" si="192">F67</f>
        <v>214.57920000000001</v>
      </c>
      <c r="AK67" s="1146">
        <f t="shared" ref="AK67:AK72" si="193">IF( (AG67&gt;0),1, 0)</f>
        <v>1</v>
      </c>
      <c r="AL67" s="97">
        <f t="shared" ref="AL67:AL72" si="194" xml:space="preserve"> IF(D67="XX", "XX", E67- $D$2)</f>
        <v>204</v>
      </c>
      <c r="AM67" s="75">
        <f t="shared" ref="AM67:AM72" si="195" xml:space="preserve"> IF(D67="XX", "XX", $AP$5 * R67 * (T67-$T$5)/$T$5 * $AR$5 * ($H$2-AL67))</f>
        <v>2.1373036595552553E-2</v>
      </c>
      <c r="AN67" s="75">
        <f t="shared" ref="AN67:AN72" si="196" xml:space="preserve"> IF(D67="XX", "XX", $AT$5 * $AP$6^2 * $AT$6 * R67 * K67^2/2)</f>
        <v>1.9893487635359538E-4</v>
      </c>
      <c r="AO67" s="75">
        <f t="shared" ref="AO67:AO72" si="197" xml:space="preserve"> IF(D67="XX", "XX", AM67 +AN67)</f>
        <v>2.1571971471906148E-2</v>
      </c>
      <c r="AP67" s="75">
        <f xml:space="preserve"> IF(D67="XX", "XX", AO67 +$Z$66)</f>
        <v>4.657197147190615E-2</v>
      </c>
      <c r="AQ67" s="12">
        <f xml:space="preserve"> IF(D67="XX", 0, 60 * ($AC$66 * $AN$66 * (2 * ABS(AP67)/R67)^0.5))</f>
        <v>440.67177387951642</v>
      </c>
      <c r="AR67" s="13" t="str">
        <f t="shared" ref="AR67:AR72" si="198">IF(D67="XX", "XX", IF(AP67&lt;0, "Exfl", "Infl"))</f>
        <v>Infl</v>
      </c>
      <c r="AS67" s="12">
        <f t="shared" ref="AS67:AS72" si="199" xml:space="preserve"> IF(AR67="Infl", -AQ67, AQ67)</f>
        <v>-440.67177387951642</v>
      </c>
      <c r="AT67" s="98">
        <f>IF(D67="XX", "XX", AS67/$O$66)</f>
        <v>-3.6722647823293035E-2</v>
      </c>
      <c r="AU67" s="12">
        <f t="shared" ref="AU67:AU72" si="200">IF(D67="XX", "XX", AS67*1.08*(L67-$L$6))</f>
        <v>-9172.8741692103122</v>
      </c>
      <c r="AV67" s="1047">
        <f t="shared" ref="AV67:AV72" si="201" xml:space="preserve"> IF(D67="XX", 0, AS67 * 1.08 * 3000/1000)</f>
        <v>-1427.7765473696334</v>
      </c>
    </row>
    <row r="68" spans="2:48" ht="21" customHeight="1">
      <c r="B68" s="1168">
        <f>'Input-Output'!BK63</f>
        <v>10</v>
      </c>
      <c r="C68" s="19">
        <f>'Input-Output'!BL63</f>
        <v>5</v>
      </c>
      <c r="D68" s="1188">
        <f>'Input-Output'!BM63</f>
        <v>11</v>
      </c>
      <c r="E68" s="19">
        <f>'Input-Output'!BN63</f>
        <v>689</v>
      </c>
      <c r="F68" s="19">
        <f>'Input-Output'!BO63</f>
        <v>210.00720000000001</v>
      </c>
      <c r="G68" s="20">
        <f t="shared" si="166"/>
        <v>98.827632038699221</v>
      </c>
      <c r="H68" s="20">
        <f t="shared" si="167"/>
        <v>29.263359382295011</v>
      </c>
      <c r="I68" s="20">
        <f t="shared" si="168"/>
        <v>397.14533962385866</v>
      </c>
      <c r="J68" s="20">
        <f t="shared" si="169"/>
        <v>14.333730548807956</v>
      </c>
      <c r="K68" s="20">
        <f t="shared" si="170"/>
        <v>6.4438502673796787</v>
      </c>
      <c r="L68" s="27">
        <f t="shared" si="171"/>
        <v>94.327160000000006</v>
      </c>
      <c r="M68" s="17">
        <f t="shared" si="172"/>
        <v>74.557739999999995</v>
      </c>
      <c r="N68" s="22">
        <f t="shared" si="173"/>
        <v>65.686267681445145</v>
      </c>
      <c r="O68" s="23">
        <f t="shared" si="174"/>
        <v>1.4336264718769958E-2</v>
      </c>
      <c r="P68" s="22">
        <f t="shared" si="175"/>
        <v>40.354403129234633</v>
      </c>
      <c r="Q68" s="102">
        <f t="shared" si="176"/>
        <v>14.609917950619165</v>
      </c>
      <c r="R68" s="106">
        <f t="shared" si="177"/>
        <v>6.8446654072935445E-2</v>
      </c>
      <c r="S68" s="32">
        <f t="shared" si="178"/>
        <v>38.449716082967747</v>
      </c>
      <c r="T68" s="24">
        <f t="shared" si="179"/>
        <v>554.02715999999998</v>
      </c>
      <c r="U68" s="66">
        <f t="shared" si="180"/>
        <v>534.25774000000001</v>
      </c>
      <c r="W68" s="1202">
        <f t="shared" si="181"/>
        <v>0.4241879598235675</v>
      </c>
      <c r="X68" s="21">
        <f t="shared" si="182"/>
        <v>1.8968016062584747E-2</v>
      </c>
      <c r="Y68" s="23">
        <f t="shared" si="183"/>
        <v>0.80026034199511653</v>
      </c>
      <c r="Z68" s="21">
        <f t="shared" si="184"/>
        <v>1.6339496855673583</v>
      </c>
      <c r="AA68" s="21">
        <f t="shared" si="185"/>
        <v>0.65930621284762936</v>
      </c>
      <c r="AB68" s="21">
        <f t="shared" si="186"/>
        <v>-1.1303855544499186</v>
      </c>
      <c r="AC68" s="70">
        <f t="shared" si="187"/>
        <v>3.6778883753226417E-2</v>
      </c>
      <c r="AF68" s="1168">
        <f t="shared" si="188"/>
        <v>10</v>
      </c>
      <c r="AG68" s="19">
        <f t="shared" si="189"/>
        <v>5</v>
      </c>
      <c r="AH68" s="1188">
        <f t="shared" si="190"/>
        <v>11</v>
      </c>
      <c r="AI68" s="19">
        <f t="shared" si="191"/>
        <v>689</v>
      </c>
      <c r="AJ68" s="1100">
        <f t="shared" si="192"/>
        <v>210.00720000000001</v>
      </c>
      <c r="AK68" s="1146">
        <f t="shared" si="193"/>
        <v>1</v>
      </c>
      <c r="AL68" s="97">
        <f t="shared" si="194"/>
        <v>189</v>
      </c>
      <c r="AM68" s="75">
        <f t="shared" si="195"/>
        <v>2.2155523243044671E-2</v>
      </c>
      <c r="AN68" s="75">
        <f t="shared" si="196"/>
        <v>1.9212761859661919E-4</v>
      </c>
      <c r="AO68" s="75">
        <f t="shared" si="197"/>
        <v>2.234765086164129E-2</v>
      </c>
      <c r="AP68" s="75">
        <f t="shared" ref="AP68:AP72" si="202" xml:space="preserve"> IF(D68="XX", "XX", AO68 +$Z$66)</f>
        <v>4.7347650861641291E-2</v>
      </c>
      <c r="AQ68" s="12">
        <f t="shared" ref="AQ68:AQ72" si="203" xml:space="preserve"> IF(D68="XX", 0, 60 * ($AC$66 * $AN$66 * (2 * ABS(AP68)/R68)^0.5))</f>
        <v>444.22959914876924</v>
      </c>
      <c r="AR68" s="13" t="str">
        <f t="shared" si="198"/>
        <v>Infl</v>
      </c>
      <c r="AS68" s="12">
        <f t="shared" si="199"/>
        <v>-444.22959914876924</v>
      </c>
      <c r="AT68" s="98">
        <f t="shared" ref="AT68:AT72" si="204">IF(D68="XX", "XX", AS68/$O$66)</f>
        <v>-3.701913326239744E-2</v>
      </c>
      <c r="AU68" s="12">
        <f t="shared" si="200"/>
        <v>-9272.552262642861</v>
      </c>
      <c r="AV68" s="1047">
        <f t="shared" si="201"/>
        <v>-1439.3039012420124</v>
      </c>
    </row>
    <row r="69" spans="2:48" ht="21" customHeight="1">
      <c r="B69" s="1168">
        <f>'Input-Output'!BK64</f>
        <v>9</v>
      </c>
      <c r="C69" s="19">
        <f>'Input-Output'!BL64</f>
        <v>4</v>
      </c>
      <c r="D69" s="1188">
        <f>'Input-Output'!BM64</f>
        <v>10</v>
      </c>
      <c r="E69" s="19">
        <f>'Input-Output'!BN64</f>
        <v>674</v>
      </c>
      <c r="F69" s="19">
        <f>'Input-Output'!BO64</f>
        <v>205.43520000000001</v>
      </c>
      <c r="G69" s="20">
        <f t="shared" si="166"/>
        <v>98.881465398804309</v>
      </c>
      <c r="H69" s="20">
        <f t="shared" si="167"/>
        <v>29.279299711239599</v>
      </c>
      <c r="I69" s="20">
        <f t="shared" si="168"/>
        <v>397.36167252226971</v>
      </c>
      <c r="J69" s="20">
        <f t="shared" si="169"/>
        <v>14.341538414506703</v>
      </c>
      <c r="K69" s="20">
        <f t="shared" si="170"/>
        <v>6.3292589763177993</v>
      </c>
      <c r="L69" s="27">
        <f t="shared" si="171"/>
        <v>94.380560000000003</v>
      </c>
      <c r="M69" s="17">
        <f t="shared" si="172"/>
        <v>74.592839999999995</v>
      </c>
      <c r="N69" s="22">
        <f t="shared" si="173"/>
        <v>65.717332378918897</v>
      </c>
      <c r="O69" s="23">
        <f t="shared" si="174"/>
        <v>1.4344139151660048E-2</v>
      </c>
      <c r="P69" s="22">
        <f t="shared" si="175"/>
        <v>40.331663622534194</v>
      </c>
      <c r="Q69" s="102">
        <f t="shared" si="176"/>
        <v>14.603552106205996</v>
      </c>
      <c r="R69" s="106">
        <f t="shared" si="177"/>
        <v>6.8476490700850462E-2</v>
      </c>
      <c r="S69" s="32">
        <f t="shared" si="178"/>
        <v>38.471556741229421</v>
      </c>
      <c r="T69" s="24">
        <f t="shared" si="179"/>
        <v>554.08055999999999</v>
      </c>
      <c r="U69" s="66">
        <f t="shared" si="180"/>
        <v>534.29283999999996</v>
      </c>
      <c r="W69" s="1202">
        <f t="shared" si="181"/>
        <v>0.42468639082355814</v>
      </c>
      <c r="X69" s="21">
        <f t="shared" si="182"/>
        <v>1.8980329812727962E-2</v>
      </c>
      <c r="Y69" s="23">
        <f t="shared" si="183"/>
        <v>0.80157782656468779</v>
      </c>
      <c r="Z69" s="21">
        <f t="shared" si="184"/>
        <v>1.6366396895388458</v>
      </c>
      <c r="AA69" s="21">
        <f t="shared" si="185"/>
        <v>0.66001951439576323</v>
      </c>
      <c r="AB69" s="21">
        <f t="shared" si="186"/>
        <v>-1.1293042420751105</v>
      </c>
      <c r="AC69" s="70">
        <f t="shared" si="187"/>
        <v>3.6821774578184585E-2</v>
      </c>
      <c r="AF69" s="1168">
        <f t="shared" si="188"/>
        <v>9</v>
      </c>
      <c r="AG69" s="19">
        <f t="shared" si="189"/>
        <v>4</v>
      </c>
      <c r="AH69" s="1188">
        <f t="shared" si="190"/>
        <v>10</v>
      </c>
      <c r="AI69" s="19">
        <f t="shared" si="191"/>
        <v>674</v>
      </c>
      <c r="AJ69" s="1100">
        <f t="shared" si="192"/>
        <v>205.43520000000001</v>
      </c>
      <c r="AK69" s="1146">
        <f t="shared" si="193"/>
        <v>1</v>
      </c>
      <c r="AL69" s="97">
        <f t="shared" si="194"/>
        <v>174</v>
      </c>
      <c r="AM69" s="75">
        <f t="shared" si="195"/>
        <v>2.2942633633787932E-2</v>
      </c>
      <c r="AN69" s="75">
        <f t="shared" si="196"/>
        <v>1.8543594582347045E-4</v>
      </c>
      <c r="AO69" s="75">
        <f t="shared" si="197"/>
        <v>2.3128069579611402E-2</v>
      </c>
      <c r="AP69" s="75">
        <f t="shared" si="202"/>
        <v>4.8128069579611403E-2</v>
      </c>
      <c r="AQ69" s="12">
        <f t="shared" si="203"/>
        <v>447.77811022928358</v>
      </c>
      <c r="AR69" s="13" t="str">
        <f t="shared" si="198"/>
        <v>Infl</v>
      </c>
      <c r="AS69" s="12">
        <f t="shared" si="199"/>
        <v>-447.77811022928358</v>
      </c>
      <c r="AT69" s="98">
        <f t="shared" si="204"/>
        <v>-3.7314842519106967E-2</v>
      </c>
      <c r="AU69" s="12">
        <f t="shared" si="200"/>
        <v>-9372.445774544065</v>
      </c>
      <c r="AV69" s="1047">
        <f t="shared" si="201"/>
        <v>-1450.801077142879</v>
      </c>
    </row>
    <row r="70" spans="2:48" ht="21" customHeight="1">
      <c r="B70" s="1168">
        <f>'Input-Output'!BK65</f>
        <v>8</v>
      </c>
      <c r="C70" s="19">
        <f>'Input-Output'!BL65</f>
        <v>3</v>
      </c>
      <c r="D70" s="1188">
        <f>'Input-Output'!BM65</f>
        <v>9</v>
      </c>
      <c r="E70" s="19">
        <f>'Input-Output'!BN65</f>
        <v>659</v>
      </c>
      <c r="F70" s="19">
        <f>'Input-Output'!BO65</f>
        <v>200.86320000000001</v>
      </c>
      <c r="G70" s="20">
        <f t="shared" si="166"/>
        <v>98.935322500845572</v>
      </c>
      <c r="H70" s="20">
        <f t="shared" si="167"/>
        <v>29.295247070291015</v>
      </c>
      <c r="I70" s="20">
        <f t="shared" si="168"/>
        <v>397.57810082921281</v>
      </c>
      <c r="J70" s="20">
        <f t="shared" si="169"/>
        <v>14.34934972368081</v>
      </c>
      <c r="K70" s="20">
        <f t="shared" si="170"/>
        <v>6.2146676852559208</v>
      </c>
      <c r="L70" s="27">
        <f t="shared" si="171"/>
        <v>94.433959999999999</v>
      </c>
      <c r="M70" s="17">
        <f t="shared" si="172"/>
        <v>74.627939999999995</v>
      </c>
      <c r="N70" s="22">
        <f t="shared" si="173"/>
        <v>65.748402214900409</v>
      </c>
      <c r="O70" s="23">
        <f t="shared" si="174"/>
        <v>1.4352019162497455E-2</v>
      </c>
      <c r="P70" s="22">
        <f t="shared" si="175"/>
        <v>40.308952370458414</v>
      </c>
      <c r="Q70" s="102">
        <f t="shared" si="176"/>
        <v>14.597189849269574</v>
      </c>
      <c r="R70" s="106">
        <f t="shared" si="177"/>
        <v>6.8506336515862937E-2</v>
      </c>
      <c r="S70" s="32">
        <f t="shared" si="178"/>
        <v>38.493403924968469</v>
      </c>
      <c r="T70" s="24">
        <f t="shared" si="179"/>
        <v>554.13396</v>
      </c>
      <c r="U70" s="66">
        <f t="shared" si="180"/>
        <v>534.32794000000001</v>
      </c>
      <c r="W70" s="1202">
        <f t="shared" si="181"/>
        <v>0.42518533310993872</v>
      </c>
      <c r="X70" s="21">
        <f t="shared" si="182"/>
        <v>1.8992649473946445E-2</v>
      </c>
      <c r="Y70" s="23">
        <f t="shared" si="183"/>
        <v>0.80289719044025731</v>
      </c>
      <c r="Z70" s="21">
        <f t="shared" si="184"/>
        <v>1.6393335306259365</v>
      </c>
      <c r="AA70" s="21">
        <f t="shared" si="185"/>
        <v>0.66073360236733036</v>
      </c>
      <c r="AB70" s="21">
        <f t="shared" si="186"/>
        <v>-1.1282229074455195</v>
      </c>
      <c r="AC70" s="70">
        <f t="shared" si="187"/>
        <v>3.6864706334343106E-2</v>
      </c>
      <c r="AF70" s="1168">
        <f t="shared" si="188"/>
        <v>8</v>
      </c>
      <c r="AG70" s="19">
        <f t="shared" si="189"/>
        <v>3</v>
      </c>
      <c r="AH70" s="1188">
        <f t="shared" si="190"/>
        <v>9</v>
      </c>
      <c r="AI70" s="19">
        <f t="shared" si="191"/>
        <v>659</v>
      </c>
      <c r="AJ70" s="1100">
        <f t="shared" si="192"/>
        <v>200.86320000000001</v>
      </c>
      <c r="AK70" s="1146">
        <f t="shared" si="193"/>
        <v>1</v>
      </c>
      <c r="AL70" s="97">
        <f t="shared" si="194"/>
        <v>159</v>
      </c>
      <c r="AM70" s="75">
        <f t="shared" si="195"/>
        <v>2.3734373240200939E-2</v>
      </c>
      <c r="AN70" s="75">
        <f t="shared" si="196"/>
        <v>1.7886001422051404E-4</v>
      </c>
      <c r="AO70" s="75">
        <f t="shared" si="197"/>
        <v>2.3913233254421452E-2</v>
      </c>
      <c r="AP70" s="75">
        <f t="shared" si="202"/>
        <v>4.8913233254421457E-2</v>
      </c>
      <c r="AQ70" s="12">
        <f t="shared" si="203"/>
        <v>451.31752680233581</v>
      </c>
      <c r="AR70" s="13" t="str">
        <f t="shared" si="198"/>
        <v>Infl</v>
      </c>
      <c r="AS70" s="12">
        <f t="shared" si="199"/>
        <v>-451.31752680233581</v>
      </c>
      <c r="AT70" s="98">
        <f t="shared" si="204"/>
        <v>-3.760979390019465E-2</v>
      </c>
      <c r="AU70" s="12">
        <f t="shared" si="200"/>
        <v>-9472.5577042295645</v>
      </c>
      <c r="AV70" s="1047">
        <f t="shared" si="201"/>
        <v>-1462.2687868395681</v>
      </c>
    </row>
    <row r="71" spans="2:48" ht="21" customHeight="1">
      <c r="B71" s="1168">
        <f>'Input-Output'!BK66</f>
        <v>7</v>
      </c>
      <c r="C71" s="19">
        <f>'Input-Output'!BL66</f>
        <v>2</v>
      </c>
      <c r="D71" s="1188">
        <f>'Input-Output'!BM66</f>
        <v>8</v>
      </c>
      <c r="E71" s="19">
        <f>'Input-Output'!BN66</f>
        <v>644</v>
      </c>
      <c r="F71" s="19">
        <f>'Input-Output'!BO66</f>
        <v>196.2912</v>
      </c>
      <c r="G71" s="20">
        <f t="shared" si="166"/>
        <v>98.989203352832334</v>
      </c>
      <c r="H71" s="20">
        <f t="shared" si="167"/>
        <v>29.311201461820861</v>
      </c>
      <c r="I71" s="20">
        <f t="shared" si="168"/>
        <v>397.79462457687407</v>
      </c>
      <c r="J71" s="20">
        <f t="shared" si="169"/>
        <v>14.35716447749193</v>
      </c>
      <c r="K71" s="20">
        <f t="shared" si="170"/>
        <v>6.1000763941940415</v>
      </c>
      <c r="L71" s="27">
        <f t="shared" si="171"/>
        <v>94.487359999999995</v>
      </c>
      <c r="M71" s="17">
        <f t="shared" si="172"/>
        <v>74.663039999999995</v>
      </c>
      <c r="N71" s="22">
        <f t="shared" si="173"/>
        <v>65.779477186708476</v>
      </c>
      <c r="O71" s="23">
        <f t="shared" si="174"/>
        <v>1.435990475276145E-2</v>
      </c>
      <c r="P71" s="22">
        <f t="shared" si="175"/>
        <v>40.286269327325932</v>
      </c>
      <c r="Q71" s="102">
        <f t="shared" si="176"/>
        <v>14.590831177422553</v>
      </c>
      <c r="R71" s="106">
        <f t="shared" si="177"/>
        <v>6.8536191519189965E-2</v>
      </c>
      <c r="S71" s="32">
        <f t="shared" si="178"/>
        <v>38.515257636213207</v>
      </c>
      <c r="T71" s="24">
        <f t="shared" si="179"/>
        <v>554.18736000000001</v>
      </c>
      <c r="U71" s="66">
        <f t="shared" si="180"/>
        <v>534.36303999999996</v>
      </c>
      <c r="W71" s="1202">
        <f t="shared" si="181"/>
        <v>0.42568478712415575</v>
      </c>
      <c r="X71" s="21">
        <f t="shared" si="182"/>
        <v>1.9004975047879701E-2</v>
      </c>
      <c r="Y71" s="23">
        <f t="shared" si="183"/>
        <v>0.80421843585122821</v>
      </c>
      <c r="Z71" s="21">
        <f t="shared" si="184"/>
        <v>1.6420312133805648</v>
      </c>
      <c r="AA71" s="21">
        <f t="shared" si="185"/>
        <v>0.66144847751499303</v>
      </c>
      <c r="AB71" s="21">
        <f t="shared" si="186"/>
        <v>-1.1271415507576619</v>
      </c>
      <c r="AC71" s="70">
        <f t="shared" si="187"/>
        <v>3.6907679053239439E-2</v>
      </c>
      <c r="AF71" s="1168">
        <f t="shared" si="188"/>
        <v>7</v>
      </c>
      <c r="AG71" s="19">
        <f t="shared" si="189"/>
        <v>2</v>
      </c>
      <c r="AH71" s="1188">
        <f t="shared" si="190"/>
        <v>8</v>
      </c>
      <c r="AI71" s="19">
        <f t="shared" si="191"/>
        <v>644</v>
      </c>
      <c r="AJ71" s="1100">
        <f t="shared" si="192"/>
        <v>196.2912</v>
      </c>
      <c r="AK71" s="1146">
        <f t="shared" si="193"/>
        <v>1</v>
      </c>
      <c r="AL71" s="97">
        <f t="shared" si="194"/>
        <v>144</v>
      </c>
      <c r="AM71" s="75">
        <f t="shared" si="195"/>
        <v>2.4530747537934734E-2</v>
      </c>
      <c r="AN71" s="75">
        <f t="shared" si="196"/>
        <v>1.7239998007149727E-4</v>
      </c>
      <c r="AO71" s="75">
        <f t="shared" si="197"/>
        <v>2.470314751800623E-2</v>
      </c>
      <c r="AP71" s="75">
        <f t="shared" si="202"/>
        <v>4.9703147518006231E-2</v>
      </c>
      <c r="AQ71" s="12">
        <f t="shared" si="203"/>
        <v>454.84806115697097</v>
      </c>
      <c r="AR71" s="13" t="str">
        <f t="shared" si="198"/>
        <v>Infl</v>
      </c>
      <c r="AS71" s="12">
        <f t="shared" si="199"/>
        <v>-454.84806115697097</v>
      </c>
      <c r="AT71" s="98">
        <f t="shared" si="204"/>
        <v>-3.7904005096414249E-2</v>
      </c>
      <c r="AU71" s="12">
        <f t="shared" si="200"/>
        <v>-9572.8909461133408</v>
      </c>
      <c r="AV71" s="1047">
        <f t="shared" si="201"/>
        <v>-1473.7077181485861</v>
      </c>
    </row>
    <row r="72" spans="2:48" ht="21" customHeight="1" thickBot="1">
      <c r="B72" s="1168">
        <f>'Input-Output'!BK67</f>
        <v>6</v>
      </c>
      <c r="C72" s="19">
        <f>'Input-Output'!BL67</f>
        <v>1</v>
      </c>
      <c r="D72" s="1188">
        <f>'Input-Output'!BM67</f>
        <v>7</v>
      </c>
      <c r="E72" s="19">
        <f>'Input-Output'!BN67</f>
        <v>629</v>
      </c>
      <c r="F72" s="19">
        <f>'Input-Output'!BO67</f>
        <v>191.7192</v>
      </c>
      <c r="G72" s="20">
        <f t="shared" si="166"/>
        <v>99.043107962775991</v>
      </c>
      <c r="H72" s="20">
        <f t="shared" si="167"/>
        <v>29.327162888201347</v>
      </c>
      <c r="I72" s="20">
        <f t="shared" si="168"/>
        <v>398.01124379744772</v>
      </c>
      <c r="J72" s="20">
        <f t="shared" si="169"/>
        <v>14.364982677102018</v>
      </c>
      <c r="K72" s="20">
        <f t="shared" si="170"/>
        <v>5.9854851031321621</v>
      </c>
      <c r="L72" s="27">
        <f t="shared" si="171"/>
        <v>94.540760000000006</v>
      </c>
      <c r="M72" s="17">
        <f t="shared" si="172"/>
        <v>74.698139999999995</v>
      </c>
      <c r="N72" s="22">
        <f t="shared" si="173"/>
        <v>65.810557291670634</v>
      </c>
      <c r="O72" s="23">
        <f t="shared" si="174"/>
        <v>1.4367795923932346E-2</v>
      </c>
      <c r="P72" s="22">
        <f t="shared" si="175"/>
        <v>40.263614447547639</v>
      </c>
      <c r="Q72" s="102">
        <f t="shared" si="176"/>
        <v>14.584476088279414</v>
      </c>
      <c r="R72" s="106">
        <f t="shared" si="177"/>
        <v>6.8566055712048116E-2</v>
      </c>
      <c r="S72" s="32">
        <f t="shared" si="178"/>
        <v>38.537117876993243</v>
      </c>
      <c r="T72" s="24">
        <f t="shared" si="179"/>
        <v>554.24076000000002</v>
      </c>
      <c r="U72" s="66">
        <f t="shared" si="180"/>
        <v>534.39814000000001</v>
      </c>
      <c r="W72" s="1202">
        <f t="shared" si="181"/>
        <v>0.42618475330798139</v>
      </c>
      <c r="X72" s="21">
        <f t="shared" si="182"/>
        <v>1.9017306536168354E-2</v>
      </c>
      <c r="Y72" s="23">
        <f t="shared" si="183"/>
        <v>0.80554156502901098</v>
      </c>
      <c r="Z72" s="21">
        <f t="shared" si="184"/>
        <v>1.6447327423587637</v>
      </c>
      <c r="AA72" s="21">
        <f t="shared" si="185"/>
        <v>0.662164140592024</v>
      </c>
      <c r="AB72" s="21">
        <f t="shared" si="186"/>
        <v>-1.1260601722078039</v>
      </c>
      <c r="AC72" s="70">
        <f t="shared" si="187"/>
        <v>3.6950692766432557E-2</v>
      </c>
      <c r="AF72" s="1168">
        <f t="shared" si="188"/>
        <v>6</v>
      </c>
      <c r="AG72" s="19">
        <f t="shared" si="189"/>
        <v>1</v>
      </c>
      <c r="AH72" s="1188">
        <f t="shared" si="190"/>
        <v>7</v>
      </c>
      <c r="AI72" s="19">
        <f t="shared" si="191"/>
        <v>629</v>
      </c>
      <c r="AJ72" s="1100">
        <f t="shared" si="192"/>
        <v>191.7192</v>
      </c>
      <c r="AK72" s="1146">
        <f t="shared" si="193"/>
        <v>1</v>
      </c>
      <c r="AL72" s="97">
        <f t="shared" si="194"/>
        <v>129</v>
      </c>
      <c r="AM72" s="75">
        <f t="shared" si="195"/>
        <v>2.5331762005873368E-2</v>
      </c>
      <c r="AN72" s="75">
        <f t="shared" si="196"/>
        <v>1.6605599975757132E-4</v>
      </c>
      <c r="AO72" s="75">
        <f t="shared" si="197"/>
        <v>2.5497818005630939E-2</v>
      </c>
      <c r="AP72" s="75">
        <f t="shared" si="202"/>
        <v>5.049781800563094E-2</v>
      </c>
      <c r="AQ72" s="12">
        <f t="shared" si="203"/>
        <v>458.36991851705392</v>
      </c>
      <c r="AR72" s="13" t="str">
        <f t="shared" si="198"/>
        <v>Infl</v>
      </c>
      <c r="AS72" s="12">
        <f t="shared" si="199"/>
        <v>-458.36991851705392</v>
      </c>
      <c r="AT72" s="98">
        <f t="shared" si="204"/>
        <v>-3.8197493209754491E-2</v>
      </c>
      <c r="AU72" s="12">
        <f t="shared" si="200"/>
        <v>-9673.4482944782158</v>
      </c>
      <c r="AV72" s="1047">
        <f t="shared" si="201"/>
        <v>-1485.1185359952547</v>
      </c>
    </row>
    <row r="73" spans="2:48" ht="21" customHeight="1">
      <c r="B73" s="1179" t="str">
        <f>'Input-Output'!BK68</f>
        <v>Section &gt;&gt;</v>
      </c>
      <c r="C73" s="1079"/>
      <c r="D73" s="1080" t="str">
        <f>'Input-Output'!BM68</f>
        <v>2-Rtl</v>
      </c>
      <c r="E73" s="1079" t="s">
        <v>873</v>
      </c>
      <c r="F73" s="1081">
        <f>'Input-Output'!BO68</f>
        <v>4</v>
      </c>
      <c r="G73" s="1082" t="s">
        <v>867</v>
      </c>
      <c r="H73" s="1083"/>
      <c r="I73" s="1081">
        <f>'Input-Output'!BC44</f>
        <v>74</v>
      </c>
      <c r="J73" s="1083" t="s">
        <v>874</v>
      </c>
      <c r="K73" s="1084">
        <f>'Input-Output'!BC46</f>
        <v>838.87827770183674</v>
      </c>
      <c r="L73" s="1073" t="s">
        <v>885</v>
      </c>
      <c r="M73" s="1085"/>
      <c r="N73" s="1086"/>
      <c r="O73" s="1081">
        <f>'Input-Output'!BC47</f>
        <v>15099.808998633061</v>
      </c>
      <c r="P73" s="1087" t="s">
        <v>869</v>
      </c>
      <c r="Q73" s="1088"/>
      <c r="R73" s="1081">
        <f>'Input-Output'!BC45</f>
        <v>224000</v>
      </c>
      <c r="S73" s="1087" t="s">
        <v>868</v>
      </c>
      <c r="T73" s="1089"/>
      <c r="U73" s="1090">
        <f>'Input-Output'!BC50</f>
        <v>50</v>
      </c>
      <c r="W73" s="1111" t="s">
        <v>103</v>
      </c>
      <c r="X73" s="1112"/>
      <c r="Y73" s="1112"/>
      <c r="Z73" s="1113">
        <f>'Input-Output'!BC32</f>
        <v>1.4999999999999999E-2</v>
      </c>
      <c r="AA73" s="35" t="s">
        <v>102</v>
      </c>
      <c r="AB73" s="10"/>
      <c r="AC73" s="1057">
        <f>'Input-Output'!BC31</f>
        <v>0.65</v>
      </c>
      <c r="AF73" s="1166" t="str">
        <f>B73</f>
        <v>Section &gt;&gt;</v>
      </c>
      <c r="AG73" s="1104"/>
      <c r="AH73" s="1105" t="str">
        <f>D73</f>
        <v>2-Rtl</v>
      </c>
      <c r="AI73" s="1104" t="str">
        <f>E73</f>
        <v>Flrs/S</v>
      </c>
      <c r="AJ73" s="1106">
        <f>F73</f>
        <v>4</v>
      </c>
      <c r="AK73" s="1207">
        <f>SUM(AK74:AK76)</f>
        <v>3</v>
      </c>
      <c r="AL73" s="1114" t="s">
        <v>112</v>
      </c>
      <c r="AM73" s="1115"/>
      <c r="AN73" s="1116">
        <f>'Input-Output'!BC55</f>
        <v>113.24856748974797</v>
      </c>
      <c r="AO73" s="1114" t="s">
        <v>882</v>
      </c>
      <c r="AP73" s="1117"/>
      <c r="AQ73" s="1118"/>
      <c r="AR73" s="1080">
        <f xml:space="preserve"> (SUM(AQ74:AQ76)/AK73) * AJ73</f>
        <v>19849.039517698602</v>
      </c>
      <c r="AS73" s="1114" t="s">
        <v>884</v>
      </c>
      <c r="AT73" s="1117"/>
      <c r="AU73" s="1118"/>
      <c r="AV73" s="1148">
        <f xml:space="preserve"> (SUM(AV74:AV76)/AK73) * AJ73</f>
        <v>-64310.888037343459</v>
      </c>
    </row>
    <row r="74" spans="2:48" ht="21" customHeight="1">
      <c r="B74" s="1167">
        <f>'Input-Output'!BK69</f>
        <v>5</v>
      </c>
      <c r="C74" s="25">
        <f>'Input-Output'!BL69</f>
        <v>3</v>
      </c>
      <c r="D74" s="1187">
        <f>'Input-Output'!BM69</f>
        <v>5</v>
      </c>
      <c r="E74" s="25">
        <f>'Input-Output'!BN69</f>
        <v>594</v>
      </c>
      <c r="F74" s="25">
        <f>'Input-Output'!BO69</f>
        <v>181.05120000000002</v>
      </c>
      <c r="G74" s="26">
        <f t="shared" ref="G74:G75" si="205">IF(E74="XX","XX",((101325*(1-2.25577*(10^(-5))*F74)^5.2555)/1000))</f>
        <v>99.168977823048365</v>
      </c>
      <c r="H74" s="26">
        <f xml:space="preserve"> IF(E74="XX", "XX", G74*$AJ$5)</f>
        <v>29.364433587504429</v>
      </c>
      <c r="I74" s="26">
        <f>IF(E74="XX", "XX", G74*$AL$5)</f>
        <v>398.5170601099008</v>
      </c>
      <c r="J74" s="26">
        <f xml:space="preserve"> IF(E74="XX", "XX",G74*$AN$5)</f>
        <v>14.383238549717218</v>
      </c>
      <c r="K74" s="26">
        <f xml:space="preserve"> IF(E74="XX", "XX", ( $K$79 + $U$2 * (E74-$D$2)/$F$2 ) )</f>
        <v>5.7181054239877769</v>
      </c>
      <c r="L74" s="27">
        <f xml:space="preserve"> IF(E74="XX", "XX", $L$79 - $AA$2*(E74-$E$79))</f>
        <v>94.665360000000007</v>
      </c>
      <c r="M74" s="27">
        <f>IF(E74="XX","XX ", $M$79-$AC$2*(E74-$E$79))</f>
        <v>74.78004</v>
      </c>
      <c r="N74" s="28">
        <f>IF(E74="XX","XX",100.45+33.193*AB74+2.319*AB74^2+0.17074*AB74^3+1.2063*(AA74*0.4897705)^3)</f>
        <v>65.883097483883247</v>
      </c>
      <c r="O74" s="29">
        <f>IF(E74="XX","XX ",((1093-0.556*M74)*X74-0.24*(L74-M74))/(1093+0.444*L74-M74))</f>
        <v>1.4386230368504822E-2</v>
      </c>
      <c r="P74" s="28">
        <f xml:space="preserve"> IF(E74="XX", "XX", ((O74/AC74)/(1-(1-(O74/AC74))*(Y74/J74)))*100)</f>
        <v>40.210862330122808</v>
      </c>
      <c r="Q74" s="41">
        <f xml:space="preserve"> IF(E74="XX", "XX", 0.7543*(T74*(1+1.6078*O74))/H74)</f>
        <v>14.569661466296276</v>
      </c>
      <c r="R74" s="42">
        <f xml:space="preserve"> IF(E74="XX", "XX", 1/Q74)</f>
        <v>6.8635774572613176E-2</v>
      </c>
      <c r="S74" s="37">
        <f>IF(E74="XX", "XX", 0.24*L74+O74*(1061+0.444*L74))</f>
        <v>38.588150509517199</v>
      </c>
      <c r="T74" s="30">
        <f>IF(E74="XX", "XX", L74+459.7)</f>
        <v>554.36536000000001</v>
      </c>
      <c r="U74" s="44">
        <f>IF(E74="XX", "XX", M74+459.7)</f>
        <v>534.48004000000003</v>
      </c>
      <c r="W74" s="1202">
        <f xml:space="preserve"> IF(E74="XX", "XX", EXP((-10440.397/U74)+(-11.29465) + (-0.027022355*U74) + (0.00001289036*U74*U74) + (-0.0000000024780681*U74^3)+(6.5459673*LN(U74))) )</f>
        <v>0.4273533353247212</v>
      </c>
      <c r="X74" s="21">
        <f>IF(E74="XX", "XX", 0.62198*W74/(J74-W74))</f>
        <v>1.9046103018327286E-2</v>
      </c>
      <c r="Y74" s="23">
        <f xml:space="preserve"> IF(E74="XX", "XX", EXP((-10440.397/T74)+(-11.29465) + (-0.027022355*T74) + (0.00001289036*T74*T74) + (-0.0000000024780681*T74^3)+(6.5459673*LN(T74))) )</f>
        <v>0.80863620475328635</v>
      </c>
      <c r="Z74" s="21">
        <f>IF(E74="XX", "XX", Y74*2.041772658 )</f>
        <v>1.6510512931341499</v>
      </c>
      <c r="AA74" s="21">
        <f>IF(E74="XX", "XX", (H74*O74)/(0.62198+O74))</f>
        <v>0.66383708951034692</v>
      </c>
      <c r="AB74" s="21">
        <f>IF(E74="XX", "XX", LN(AA74*0.4897705))</f>
        <v>-1.1235368716738536</v>
      </c>
      <c r="AC74" s="70">
        <f>IF(E74="XX", "XX", 0.62198*(Y74/(J74-Y74)))</f>
        <v>3.7051217696925133E-2</v>
      </c>
      <c r="AF74" s="1167">
        <f t="shared" ref="AF74:AF76" si="206">B74</f>
        <v>5</v>
      </c>
      <c r="AG74" s="25">
        <f t="shared" ref="AG74:AG76" si="207">C74</f>
        <v>3</v>
      </c>
      <c r="AH74" s="1187">
        <f t="shared" ref="AH74:AH76" si="208">D74</f>
        <v>5</v>
      </c>
      <c r="AI74" s="25">
        <f t="shared" ref="AI74:AI76" si="209">E74</f>
        <v>594</v>
      </c>
      <c r="AJ74" s="1103">
        <f t="shared" ref="AJ74:AJ76" si="210">F74</f>
        <v>181.05120000000002</v>
      </c>
      <c r="AK74" s="1206">
        <f t="shared" ref="AK74:AK76" si="211">IF( (AG74&gt;0),1, 0)</f>
        <v>1</v>
      </c>
      <c r="AL74" s="1109">
        <f xml:space="preserve"> IF(D74="XX", "XX", E74- $D$2)</f>
        <v>94</v>
      </c>
      <c r="AM74" s="1018">
        <f xml:space="preserve"> IF(D74="XX", "XX", $AP$5 * R74 * (T74-$T$5)/$T$5 * $AR$5 * ($H$2-AL74))</f>
        <v>2.7218871671417764E-2</v>
      </c>
      <c r="AN74" s="1018">
        <f xml:space="preserve"> IF(D74="XX", "XX", $AT$5 * $AP$6^2 * $AT$6 * R74 * K74^2/2)</f>
        <v>1.5170557866194225E-4</v>
      </c>
      <c r="AO74" s="1018">
        <f xml:space="preserve"> IF(D74="XX", "XX", AM74 +AN74)</f>
        <v>2.7370577250079707E-2</v>
      </c>
      <c r="AP74" s="1018">
        <f xml:space="preserve"> IF(D74="XX", "XX", AO74 +$Z$73)</f>
        <v>4.2370577250079706E-2</v>
      </c>
      <c r="AQ74" s="12">
        <f xml:space="preserve"> IF(D74="XX", 0, 60 * ($AC$73 * $AN$73 * (2 * ABS(AP74)/R74)^0.5))</f>
        <v>4907.6009616519004</v>
      </c>
      <c r="AR74" s="1019" t="str">
        <f>IF(D74="XX", "XX", IF(AP74&lt;0, "Exfl", "Infl"))</f>
        <v>Infl</v>
      </c>
      <c r="AS74" s="1006">
        <f t="shared" ref="AS74:AS76" si="212" xml:space="preserve"> IF(AR74="Infl", -AQ74, AQ74)</f>
        <v>-4907.6009616519004</v>
      </c>
      <c r="AT74" s="1110">
        <f>IF(D74="XX", "XX", AS74/$O$73)</f>
        <v>-0.32501079729526183</v>
      </c>
      <c r="AU74" s="1006">
        <f>IF(D74="XX", "XX", AS74*1.08*(L74-$L$6))</f>
        <v>-104230.51881900933</v>
      </c>
      <c r="AV74" s="1047">
        <f xml:space="preserve"> IF(D74="XX", 0, AS74 * 1.08 * 3000/1000)</f>
        <v>-15900.627115752159</v>
      </c>
    </row>
    <row r="75" spans="2:48" ht="21" customHeight="1">
      <c r="B75" s="1168">
        <f>'Input-Output'!BK70</f>
        <v>4</v>
      </c>
      <c r="C75" s="19">
        <f>'Input-Output'!BL70</f>
        <v>2</v>
      </c>
      <c r="D75" s="1188">
        <f>'Input-Output'!BM70</f>
        <v>4</v>
      </c>
      <c r="E75" s="19">
        <f>'Input-Output'!BN70</f>
        <v>576</v>
      </c>
      <c r="F75" s="19">
        <f>'Input-Output'!BO70</f>
        <v>175.56480000000002</v>
      </c>
      <c r="G75" s="20">
        <f t="shared" si="205"/>
        <v>99.233761311135282</v>
      </c>
      <c r="H75" s="20">
        <f xml:space="preserve"> IF(E75="XX", "XX", G75*$AJ$5)</f>
        <v>29.383616304471516</v>
      </c>
      <c r="I75" s="20">
        <f>IF(E75="XX", "XX", G75*$AL$5)</f>
        <v>398.77739681783913</v>
      </c>
      <c r="J75" s="20">
        <f xml:space="preserve"> IF(E75="XX", "XX",G75*$AN$5)</f>
        <v>14.392634596582797</v>
      </c>
      <c r="K75" s="20">
        <f xml:space="preserve"> IF(E75="XX", "XX", ( $K$79 + $U$2 * (E75-$D$2)/$F$2 ) )</f>
        <v>5.5805958747135218</v>
      </c>
      <c r="L75" s="27">
        <f xml:space="preserve"> IF(E75="XX", "XX", $L$79 - $AA$2*(E75-$E$79))</f>
        <v>94.729439999999997</v>
      </c>
      <c r="M75" s="17">
        <f>IF(E75="XX","XX ", $M$79-$AC$2*(E75-$E$79))</f>
        <v>74.822159999999997</v>
      </c>
      <c r="N75" s="22">
        <f>IF(E75="XX","XX",100.45+33.193*AB75+2.319*AB75^2+0.17074*AB75^3+1.2063*(AA75*0.4897705)^3)</f>
        <v>65.920414734072764</v>
      </c>
      <c r="O75" s="23">
        <f>IF(E75="XX","XX ",((1093-0.556*M75)*X75-0.24*(L75-M75))/(1093+0.444*L75-M75))</f>
        <v>1.4395722780794738E-2</v>
      </c>
      <c r="P75" s="22">
        <f xml:space="preserve"> IF(E75="XX", "XX", ((O75/AC75)/(1-(1-(O75/AC75))*(Y75/J75)))*100)</f>
        <v>40.183792091508039</v>
      </c>
      <c r="Q75" s="102">
        <f xml:space="preserve"> IF(E75="XX", "XX", 0.7543*(T75*(1+1.6078*O75))/H75)</f>
        <v>14.562050098256266</v>
      </c>
      <c r="R75" s="106">
        <f xml:space="preserve"> IF(E75="XX", "XX", 1/Q75)</f>
        <v>6.8671649476040819E-2</v>
      </c>
      <c r="S75" s="32">
        <f>IF(E75="XX", "XX", 0.24*L75+O75*(1061+0.444*L75))</f>
        <v>38.614409718717667</v>
      </c>
      <c r="T75" s="24">
        <f>IF(E75="XX", "XX", L75+459.7)</f>
        <v>554.42944</v>
      </c>
      <c r="U75" s="66">
        <f>IF(E75="XX", "XX", M75+459.7)</f>
        <v>534.52215999999999</v>
      </c>
      <c r="W75" s="1202">
        <f xml:space="preserve"> IF(E75="XX", "XX", EXP((-10440.397/U75)+(-11.29465) + (-0.027022355*U75) + (0.00001289036*U75*U75) + (-0.0000000024780681*U75^3)+(6.5459673*LN(U75))) )</f>
        <v>0.42795540893332484</v>
      </c>
      <c r="X75" s="21">
        <f>IF(E75="XX", "XX", 0.62198*W75/(J75-W75))</f>
        <v>1.906092518643478E-2</v>
      </c>
      <c r="Y75" s="23">
        <f xml:space="preserve"> IF(E75="XX", "XX", EXP((-10440.397/T75)+(-11.29465) + (-0.027022355*T75) + (0.00001289036*T75*T75) + (-0.0000000024780681*T75^3)+(6.5459673*LN(T75))) )</f>
        <v>0.81023174134750164</v>
      </c>
      <c r="Z75" s="21">
        <f>IF(E75="XX", "XX", Y75*2.041772658 )</f>
        <v>1.6543090161270571</v>
      </c>
      <c r="AA75" s="21">
        <f>IF(E75="XX", "XX", (H75*O75)/(0.62198+O75))</f>
        <v>0.66469913837696459</v>
      </c>
      <c r="AB75" s="21">
        <f>IF(E75="XX", "XX", LN(AA75*0.4897705))</f>
        <v>-1.1222391291366065</v>
      </c>
      <c r="AC75" s="70">
        <f>IF(E75="XX", "XX", 0.62198*(Y75/(J75-Y75)))</f>
        <v>3.7103003338549476E-2</v>
      </c>
      <c r="AF75" s="1168">
        <f t="shared" si="206"/>
        <v>4</v>
      </c>
      <c r="AG75" s="19">
        <f t="shared" si="207"/>
        <v>2</v>
      </c>
      <c r="AH75" s="1188">
        <f t="shared" si="208"/>
        <v>4</v>
      </c>
      <c r="AI75" s="19">
        <f t="shared" si="209"/>
        <v>576</v>
      </c>
      <c r="AJ75" s="1100">
        <f t="shared" si="210"/>
        <v>175.56480000000002</v>
      </c>
      <c r="AK75" s="1146">
        <f t="shared" si="211"/>
        <v>1</v>
      </c>
      <c r="AL75" s="97">
        <f xml:space="preserve"> IF(D75="XX", "XX", E75- $D$2)</f>
        <v>76</v>
      </c>
      <c r="AM75" s="75">
        <f xml:space="preserve"> IF(D75="XX", "XX", $AP$5 * R75 * (T75-$T$5)/$T$5 * $AR$5 * ($H$2-AL75))</f>
        <v>2.8199256745354714E-2</v>
      </c>
      <c r="AN75" s="75">
        <f xml:space="preserve"> IF(D75="XX", "XX", $AT$5 * $AP$6^2 * $AT$6 * R75 * K75^2/2)</f>
        <v>1.4457237732429446E-4</v>
      </c>
      <c r="AO75" s="75">
        <f xml:space="preserve"> IF(D75="XX", "XX", AM75 +AN75)</f>
        <v>2.834382912267901E-2</v>
      </c>
      <c r="AP75" s="75">
        <f xml:space="preserve"> IF(D75="XX", "XX", AO75 +$Z$73)</f>
        <v>4.3343829122679006E-2</v>
      </c>
      <c r="AQ75" s="12">
        <f xml:space="preserve"> IF(D75="XX", 0, 60 * ($AC$73 * $AN$73 * (2 * ABS(AP75)/R75)^0.5))</f>
        <v>4962.3480344713817</v>
      </c>
      <c r="AR75" s="13" t="str">
        <f>IF(D75="XX", "XX", IF(AP75&lt;0, "Exfl", "Infl"))</f>
        <v>Infl</v>
      </c>
      <c r="AS75" s="12">
        <f t="shared" si="212"/>
        <v>-4962.3480344713817</v>
      </c>
      <c r="AT75" s="98">
        <f>IF(D75="XX", "XX", AS75/$O$73)</f>
        <v>-0.32863647711839317</v>
      </c>
      <c r="AU75" s="12">
        <f>IF(D75="XX", "XX", AS75*1.08*(L75-$L$6))</f>
        <v>-105736.69562963872</v>
      </c>
      <c r="AV75" s="1047">
        <f t="shared" ref="AV75:AV76" si="213" xml:space="preserve"> IF(D75="XX", 0, AS75 * 1.08 * 3000/1000)</f>
        <v>-16078.007631687276</v>
      </c>
    </row>
    <row r="76" spans="2:48" ht="21" customHeight="1" thickBot="1">
      <c r="B76" s="1169">
        <f>'Input-Output'!BK71</f>
        <v>3</v>
      </c>
      <c r="C76" s="47">
        <f>'Input-Output'!BL71</f>
        <v>1</v>
      </c>
      <c r="D76" s="1189">
        <f>'Input-Output'!BM71</f>
        <v>3</v>
      </c>
      <c r="E76" s="47">
        <f>'Input-Output'!BN71</f>
        <v>558</v>
      </c>
      <c r="F76" s="47">
        <f>'Input-Output'!BO71</f>
        <v>170.07840000000002</v>
      </c>
      <c r="G76" s="48">
        <f>IF(E76="XX","XX",((101325*(1-2.25577*(10^(-5))*F76)^5.2555)/1000))</f>
        <v>99.298579063011957</v>
      </c>
      <c r="H76" s="48">
        <f xml:space="preserve"> IF(E76="XX", "XX", G76*$AJ$5)</f>
        <v>29.402809167119251</v>
      </c>
      <c r="I76" s="48">
        <f>IF(E76="XX", "XX", G76*$AL$5)</f>
        <v>399.03787121707029</v>
      </c>
      <c r="J76" s="48">
        <f xml:space="preserve"> IF(E76="XX", "XX",G76*$AN$5)</f>
        <v>14.402035612988977</v>
      </c>
      <c r="K76" s="48">
        <f xml:space="preserve"> IF(E76="XX", "XX", ( $K$79 + $U$2 * (E76-$D$2)/$F$2 ) )</f>
        <v>5.4430863254392667</v>
      </c>
      <c r="L76" s="60">
        <f xml:space="preserve"> IF(E76="XX", "XX", $L$79 - $AA$2*(E76-$E$79))</f>
        <v>94.793520000000001</v>
      </c>
      <c r="M76" s="60">
        <f>IF(E76="XX","XX ", $M$79-$AC$2*(E76-$E$79))</f>
        <v>74.864279999999994</v>
      </c>
      <c r="N76" s="61">
        <f>IF(E76="XX","XX",100.45+33.193*AB76+2.319*AB76^2+0.17074*AB76^3+1.2063*(AA76*0.4897705)^3)</f>
        <v>65.957739358675127</v>
      </c>
      <c r="O76" s="23">
        <f>IF(E76="XX","XX ",((1093-0.556*M76)*X76-0.24*(L76-M76))/(1093+0.444*L76-M76))</f>
        <v>1.4405223239251311E-2</v>
      </c>
      <c r="P76" s="61">
        <f xml:space="preserve"> IF(E76="XX", "XX", ((O76/AC76)/(1-(1-(O76/AC76))*(Y76/J76)))*100)</f>
        <v>40.156762112096636</v>
      </c>
      <c r="Q76" s="101">
        <f xml:space="preserve"> IF(E76="XX", "XX", 0.7543*(T76*(1+1.6078*O76))/H76)</f>
        <v>14.554443873770257</v>
      </c>
      <c r="R76" s="105">
        <f xml:space="preserve"> IF(E76="XX", "XX", 1/Q76)</f>
        <v>6.870753762032647E-2</v>
      </c>
      <c r="S76" s="63">
        <f>IF(E76="XX", "XX", 0.24*L76+O76*(1061+0.444*L76))</f>
        <v>38.640678343697729</v>
      </c>
      <c r="T76" s="64">
        <f>IF(E76="XX", "XX", L76+459.7)</f>
        <v>554.49351999999999</v>
      </c>
      <c r="U76" s="65">
        <f>IF(E76="XX", "XX", M76+459.7)</f>
        <v>534.56427999999994</v>
      </c>
      <c r="W76" s="1203">
        <f xml:space="preserve"> IF(E76="XX", "XX", EXP((-10440.397/U76)+(-11.29465) + (-0.027022355*U76) + (0.00001289036*U76*U76) + (-0.0000000024780681*U76^3)+(6.5459673*LN(U76))) )</f>
        <v>0.42855822295546386</v>
      </c>
      <c r="X76" s="71">
        <f>IF(E76="XX", "XX", 0.62198*W76/(J76-W76))</f>
        <v>1.9075755881922254E-2</v>
      </c>
      <c r="Y76" s="62">
        <f xml:space="preserve"> IF(E76="XX", "XX", EXP((-10440.397/T76)+(-11.29465) + (-0.027022355*T76) + (0.00001289036*T76*T76) + (-0.0000000024780681*T76^3)+(6.5459673*LN(T76))) )</f>
        <v>0.81183000516944437</v>
      </c>
      <c r="Z76" s="71">
        <f>IF(E76="XX", "XX", Y76*2.041772658 )</f>
        <v>1.6575723074989703</v>
      </c>
      <c r="AA76" s="71">
        <f>IF(E76="XX", "XX", (H76*O76)/(0.62198+O76))</f>
        <v>0.66556232678932126</v>
      </c>
      <c r="AB76" s="71">
        <f>IF(E76="XX", "XX", LN(AA76*0.4897705))</f>
        <v>-1.1209413563962705</v>
      </c>
      <c r="AC76" s="74">
        <f>IF(E76="XX", "XX", 0.62198*(Y76/(J76-Y76)))</f>
        <v>3.7154848218393211E-2</v>
      </c>
      <c r="AF76" s="1169">
        <f t="shared" si="206"/>
        <v>3</v>
      </c>
      <c r="AG76" s="47">
        <f t="shared" si="207"/>
        <v>1</v>
      </c>
      <c r="AH76" s="1189">
        <f t="shared" si="208"/>
        <v>3</v>
      </c>
      <c r="AI76" s="47">
        <f t="shared" si="209"/>
        <v>558</v>
      </c>
      <c r="AJ76" s="1101">
        <f t="shared" si="210"/>
        <v>170.07840000000002</v>
      </c>
      <c r="AK76" s="1147">
        <f t="shared" si="211"/>
        <v>1</v>
      </c>
      <c r="AL76" s="99">
        <f xml:space="preserve"> IF(D76="XX", "XX", E76- $D$2)</f>
        <v>58</v>
      </c>
      <c r="AM76" s="1">
        <f xml:space="preserve"> IF(D76="XX", "XX", $AP$5 * R76 * (T76-$T$5)/$T$5 * $AR$5 * ($H$2-AL76))</f>
        <v>2.9186359489130936E-2</v>
      </c>
      <c r="AN76" s="1">
        <f xml:space="preserve"> IF(D76="XX", "XX", $AT$5 * $AP$6^2 * $AT$6 * R76 * K76^2/2)</f>
        <v>1.376073161305352E-4</v>
      </c>
      <c r="AO76" s="1">
        <f xml:space="preserve"> IF(D76="XX", "XX", AM76 +AN76)</f>
        <v>2.9323966805261472E-2</v>
      </c>
      <c r="AP76" s="1">
        <f xml:space="preserve"> IF(D76="XX", "XX", AO76 +$Z$73)</f>
        <v>4.4323966805261475E-2</v>
      </c>
      <c r="AQ76" s="12">
        <f xml:space="preserve"> IF(D76="XX", 0, 60 * ($AC$73 * $AN$73 * (2 * ABS(AP76)/R76)^0.5))</f>
        <v>5016.8306421506668</v>
      </c>
      <c r="AR76" s="15" t="str">
        <f>IF(D76="XX", "XX", IF(AP76&lt;0, "Exfl", "Infl"))</f>
        <v>Infl</v>
      </c>
      <c r="AS76" s="14">
        <f t="shared" si="212"/>
        <v>-5016.8306421506668</v>
      </c>
      <c r="AT76" s="100">
        <f>IF(D76="XX", "XX", AS76/$O$73)</f>
        <v>-0.33224464247228724</v>
      </c>
      <c r="AU76" s="14">
        <f>IF(D76="XX", "XX", AS76*1.08*(L76-$L$6))</f>
        <v>-107244.79666418384</v>
      </c>
      <c r="AV76" s="1047">
        <f t="shared" si="213"/>
        <v>-16254.531280568162</v>
      </c>
    </row>
    <row r="77" spans="2:48" ht="21" customHeight="1">
      <c r="B77" s="1178" t="str">
        <f>'Input-Output'!BK72</f>
        <v>Section &gt;&gt;</v>
      </c>
      <c r="C77" s="1070"/>
      <c r="D77" s="1032" t="str">
        <f>'Input-Output'!BM72</f>
        <v>1-Grd</v>
      </c>
      <c r="E77" s="1070" t="s">
        <v>873</v>
      </c>
      <c r="F77" s="1033">
        <f>'Input-Output'!BO72</f>
        <v>2</v>
      </c>
      <c r="G77" s="1071" t="s">
        <v>867</v>
      </c>
      <c r="H77" s="1072"/>
      <c r="I77" s="1033">
        <f>'Input-Output'!BB44</f>
        <v>40</v>
      </c>
      <c r="J77" s="1072" t="s">
        <v>874</v>
      </c>
      <c r="K77" s="1067">
        <f>'Input-Output'!BB46</f>
        <v>982.39364688499484</v>
      </c>
      <c r="L77" s="1073" t="s">
        <v>885</v>
      </c>
      <c r="M77" s="1074"/>
      <c r="N77" s="1092"/>
      <c r="O77" s="1044">
        <f>'Input-Output'!BB47</f>
        <v>19647.872937699896</v>
      </c>
      <c r="P77" s="1076" t="s">
        <v>869</v>
      </c>
      <c r="Q77" s="1077"/>
      <c r="R77" s="1033">
        <f>'Input-Output'!BB45</f>
        <v>153600</v>
      </c>
      <c r="S77" s="1076" t="s">
        <v>868</v>
      </c>
      <c r="T77" s="1078"/>
      <c r="U77" s="1056">
        <f>'Input-Output'!BB50</f>
        <v>60</v>
      </c>
      <c r="W77" s="1111" t="s">
        <v>103</v>
      </c>
      <c r="X77" s="1112"/>
      <c r="Y77" s="1112"/>
      <c r="Z77" s="1113">
        <f>'Input-Output'!BB32</f>
        <v>5.0000000000000001E-3</v>
      </c>
      <c r="AA77" s="35" t="s">
        <v>102</v>
      </c>
      <c r="AB77" s="10"/>
      <c r="AC77" s="1057">
        <f>'Input-Output'!BB31</f>
        <v>0.65</v>
      </c>
      <c r="AF77" s="1166" t="str">
        <f>B77</f>
        <v>Section &gt;&gt;</v>
      </c>
      <c r="AG77" s="1104"/>
      <c r="AH77" s="1105" t="str">
        <f>D77</f>
        <v>1-Grd</v>
      </c>
      <c r="AI77" s="1104" t="str">
        <f>E77</f>
        <v>Flrs/S</v>
      </c>
      <c r="AJ77" s="1106">
        <f>F77</f>
        <v>2</v>
      </c>
      <c r="AK77" s="1207">
        <f>SUM(AK78:AK79)</f>
        <v>2</v>
      </c>
      <c r="AL77" s="1114" t="s">
        <v>112</v>
      </c>
      <c r="AM77" s="1115"/>
      <c r="AN77" s="1116">
        <f>'Input-Output'!BB55</f>
        <v>186.65479290814901</v>
      </c>
      <c r="AO77" s="1114" t="s">
        <v>882</v>
      </c>
      <c r="AP77" s="1117"/>
      <c r="AQ77" s="1118"/>
      <c r="AR77" s="1080">
        <f xml:space="preserve"> (SUM(AQ78:AQ79)/AK77) * AJ77</f>
        <v>15092.826492749378</v>
      </c>
      <c r="AS77" s="1114" t="s">
        <v>884</v>
      </c>
      <c r="AT77" s="1117"/>
      <c r="AU77" s="1118"/>
      <c r="AV77" s="1148">
        <f xml:space="preserve"> (SUM(AV78:AV79)/AK77) * AJ77</f>
        <v>-48900.757836507983</v>
      </c>
    </row>
    <row r="78" spans="2:48" ht="21" customHeight="1">
      <c r="B78" s="1167">
        <f>'Input-Output'!BK73</f>
        <v>2</v>
      </c>
      <c r="C78" s="1094">
        <f>'Input-Output'!BL73</f>
        <v>2</v>
      </c>
      <c r="D78" s="1190">
        <f>'Input-Output'!BM73</f>
        <v>2</v>
      </c>
      <c r="E78" s="25">
        <f>'Input-Output'!BN73</f>
        <v>520</v>
      </c>
      <c r="F78" s="25">
        <f>'Input-Output'!BO73</f>
        <v>158.49600000000001</v>
      </c>
      <c r="G78" s="26">
        <f>IF(E78="XX","XX",((101325*(1-2.25577*(10^(-5))*F78)^5.2555)/1000))</f>
        <v>99.43552912217578</v>
      </c>
      <c r="H78" s="26">
        <f xml:space="preserve"> IF(E78="XX", "XX", G78*$AJ$5)</f>
        <v>29.443360769095996</v>
      </c>
      <c r="I78" s="26">
        <f>IF(E78="XX", "XX", G78*$AL$5)</f>
        <v>399.58821403755621</v>
      </c>
      <c r="J78" s="26">
        <f xml:space="preserve"> IF(E78="XX", "XX",G78*$AN$5)</f>
        <v>14.421898531954078</v>
      </c>
      <c r="K78" s="26">
        <f xml:space="preserve"> IF(E78="XX", "XX", ( $K$79 + $U$2 * (E78-$D$2)/$F$2 ) )</f>
        <v>5.1527883880825058</v>
      </c>
      <c r="L78" s="27">
        <f xml:space="preserve"> IF(E78="XX", "XX", $L$79 - $AA$2*(E78-$E$79))</f>
        <v>94.928799999999995</v>
      </c>
      <c r="M78" s="27">
        <f>IF(E78="XX","XX ", $M$79-$AC$2*(E78-$E$79))</f>
        <v>74.953199999999995</v>
      </c>
      <c r="N78" s="28">
        <f>IF(E78="XX","XX",100.45+33.193*AB78+2.319*AB78^2+0.17074*AB78^3+1.2063*(AA78*0.4897705)^3)</f>
        <v>66.036559985120107</v>
      </c>
      <c r="O78" s="29">
        <f>IF(E78="XX","XX ",((1093-0.556*M78)*X78-0.24*(L78-M78))/(1093+0.444*L78-M78))</f>
        <v>1.4425306197379648E-2</v>
      </c>
      <c r="P78" s="28">
        <f xml:space="preserve"> IF(E78="XX", "XX", ((O78/AC78)/(1-(1-(O78/AC78))*(Y78/J78)))*100)</f>
        <v>40.099830680978755</v>
      </c>
      <c r="Q78" s="41">
        <f xml:space="preserve"> IF(E78="XX", "XX", 0.7543*(T78*(1+1.6078*O78))/H78)</f>
        <v>14.538403161455447</v>
      </c>
      <c r="R78" s="42">
        <f xml:space="preserve"> IF(E78="XX", "XX", 1/Q78)</f>
        <v>6.8783344972247251E-2</v>
      </c>
      <c r="S78" s="37">
        <f>IF(E78="XX", "XX", 0.24*L78+O78*(1061+0.444*L78))</f>
        <v>38.696165266505524</v>
      </c>
      <c r="T78" s="30">
        <f>IF(E78="XX", "XX", L78+459.7)</f>
        <v>554.62879999999996</v>
      </c>
      <c r="U78" s="44">
        <f>IF(E78="XX", "XX", M78+459.7)</f>
        <v>534.65319999999997</v>
      </c>
      <c r="W78" s="1202">
        <f xml:space="preserve"> IF(E78="XX", "XX", EXP((-10440.397/U78)+(-11.29465) + (-0.027022355*U78) + (0.00001289036*U78*U78) + (-0.0000000024780681*U78^3)+(6.5459673*LN(U78))) )</f>
        <v>0.42983326526632426</v>
      </c>
      <c r="X78" s="21">
        <f>IF(E78="XX", "XX", 0.62198*W78/(J78-W78))</f>
        <v>1.9107093144201417E-2</v>
      </c>
      <c r="Y78" s="23">
        <f xml:space="preserve"> IF(E78="XX", "XX", EXP((-10440.397/T78)+(-11.29465) + (-0.027022355*T78) + (0.00001289036*T78*T78) + (-0.0000000024780681*T78^3)+(6.5459673*LN(T78))) )</f>
        <v>0.81521309121054697</v>
      </c>
      <c r="Z78" s="21">
        <f>IF(E78="XX", "XX", Y78*2.041772658 )</f>
        <v>1.6644798000773551</v>
      </c>
      <c r="AA78" s="21">
        <f>IF(E78="XX", "XX", (H78*O78)/(0.62198+O78))</f>
        <v>0.667388361533234</v>
      </c>
      <c r="AB78" s="21">
        <f>IF(E78="XX", "XX", LN(AA78*0.4897705))</f>
        <v>-1.1182015162773453</v>
      </c>
      <c r="AC78" s="70">
        <f>IF(E78="XX", "XX", 0.62198*(Y78/(J78-Y78)))</f>
        <v>3.7264493302156379E-2</v>
      </c>
      <c r="AF78" s="1167">
        <f t="shared" ref="AF78:AF79" si="214">B78</f>
        <v>2</v>
      </c>
      <c r="AG78" s="25">
        <f t="shared" ref="AG78:AG79" si="215">C78</f>
        <v>2</v>
      </c>
      <c r="AH78" s="1187">
        <f t="shared" ref="AH78:AH79" si="216">D78</f>
        <v>2</v>
      </c>
      <c r="AI78" s="25">
        <f t="shared" ref="AI78:AI79" si="217">E78</f>
        <v>520</v>
      </c>
      <c r="AJ78" s="1103">
        <f t="shared" ref="AJ78:AJ79" si="218">F78</f>
        <v>158.49600000000001</v>
      </c>
      <c r="AK78" s="1206">
        <f t="shared" ref="AK78:AK79" si="219">IF( (AG78&gt;0),1, 0)</f>
        <v>1</v>
      </c>
      <c r="AL78" s="1109">
        <f xml:space="preserve"> IF(D78="XX", "XX", E78- $D$2)</f>
        <v>20</v>
      </c>
      <c r="AM78" s="1018">
        <f xml:space="preserve"> IF(D78="XX", "XX", $AP$5 * R78 * (T78-$T$5)/$T$5 * $AR$5 * ($H$2-AL78))</f>
        <v>3.1292346311428826E-2</v>
      </c>
      <c r="AN78" s="1018">
        <f xml:space="preserve"> IF(D78="XX", "XX", $AT$5 * $AP$6^2 * $AT$6 * R78 * K78^2/2)</f>
        <v>1.2345668258877137E-4</v>
      </c>
      <c r="AO78" s="1018">
        <f xml:space="preserve"> IF(D78="XX", "XX", AM78 +AN78)</f>
        <v>3.1415802994017597E-2</v>
      </c>
      <c r="AP78" s="1018">
        <f xml:space="preserve"> IF(D78="XX", "XX", AO78 +$Z$77)</f>
        <v>3.6415802994017595E-2</v>
      </c>
      <c r="AQ78" s="12">
        <f xml:space="preserve"> IF(D78="XX", 0, 60 * ($AC$77 * $AN$77 * (2 * ABS(AP78)/R78)^0.5))</f>
        <v>7490.6939016382075</v>
      </c>
      <c r="AR78" s="1019" t="str">
        <f>IF(D78="XX", "XX", IF(AP78&lt;0, "Exfl", "Infl"))</f>
        <v>Infl</v>
      </c>
      <c r="AS78" s="1006">
        <f t="shared" ref="AS78" si="220" xml:space="preserve"> IF(AR78="Infl", -AQ78, AQ78)</f>
        <v>-7490.6939016382075</v>
      </c>
      <c r="AT78" s="1110">
        <f>IF(D78="XX", "XX", AS78/$O$77)</f>
        <v>-0.38124706554190063</v>
      </c>
      <c r="AU78" s="1006">
        <f>IF(D78="XX", "XX", AS78*1.08*(L78-$L$6))</f>
        <v>-161222.98387712488</v>
      </c>
      <c r="AV78" s="1047">
        <f xml:space="preserve"> IF(D78="XX", 0, AS78 * 1.08 * 3000/1000)</f>
        <v>-24269.848241307795</v>
      </c>
    </row>
    <row r="79" spans="2:48" ht="21" customHeight="1" thickBot="1">
      <c r="B79" s="1169">
        <f>'Input-Output'!BK74</f>
        <v>1</v>
      </c>
      <c r="C79" s="46">
        <f>'Input-Output'!BL74</f>
        <v>1</v>
      </c>
      <c r="D79" s="1181">
        <f>'Input-Output'!BM74</f>
        <v>1</v>
      </c>
      <c r="E79" s="47">
        <f>'Input-Output'!BN74</f>
        <v>500</v>
      </c>
      <c r="F79" s="47">
        <f>'Input-Output'!BO74</f>
        <v>152.4</v>
      </c>
      <c r="G79" s="48">
        <f>IF(E79="XX","XX",((101325*(1-2.25577*(10^(-5))*F79)^5.2555)/1000))</f>
        <v>99.507669506043712</v>
      </c>
      <c r="H79" s="48">
        <f xml:space="preserve"> IF(E79="XX", "XX", G79*$AJ$5)</f>
        <v>29.464721899941239</v>
      </c>
      <c r="I79" s="48">
        <f>IF(E79="XX", "XX", G79*$AL$5)</f>
        <v>399.87811491508211</v>
      </c>
      <c r="J79" s="48">
        <f xml:space="preserve"> IF(E79="XX", "XX",G79*$AN$5)</f>
        <v>14.432361605921546</v>
      </c>
      <c r="K79" s="48">
        <f>IF(E79="XX", "XX", 'Input-Output'!BH5)</f>
        <v>5</v>
      </c>
      <c r="L79" s="1069">
        <f>'Input-Output'!BH8</f>
        <v>95</v>
      </c>
      <c r="M79" s="67">
        <f>'Input-Output'!BH9</f>
        <v>75</v>
      </c>
      <c r="N79" s="61">
        <f>100.45+33.193*AB79+2.319*AB79^2+0.17074*AB79^3+1.2063*(AA79*0.4897705)^3</f>
        <v>66.078057703881669</v>
      </c>
      <c r="O79" s="62">
        <f>((1093-0.556*M79)*X79 - 0.24*(L79-M79))/(1093 + 0.444*L79-M79)</f>
        <v>1.4435890591687118E-2</v>
      </c>
      <c r="P79" s="61">
        <f>((O79/AC79)/(1-(1-(O79/AC79))*(Y79/J79)))*100</f>
        <v>40.069938452126571</v>
      </c>
      <c r="Q79" s="101">
        <f>0.7543*(T79*(1+1.6078*O79))/H79</f>
        <v>14.529969868494526</v>
      </c>
      <c r="R79" s="105">
        <f xml:space="preserve"> 1/Q79</f>
        <v>6.8823267291717491E-2</v>
      </c>
      <c r="S79" s="63">
        <f>0.24*L79+O79*(1061+0.444*L79)</f>
        <v>38.725385782937394</v>
      </c>
      <c r="T79" s="64">
        <f>L79+459.7</f>
        <v>554.70000000000005</v>
      </c>
      <c r="U79" s="65">
        <f>M79+459.7</f>
        <v>534.70000000000005</v>
      </c>
      <c r="W79" s="1203">
        <f xml:space="preserve"> EXP((-10440.397/U79)+(-11.29465) + (-0.027022355*U79) + (0.00001289036*U79*U79) + (-0.0000000024780681*U79^3)+(6.5459673*LN(U79)))</f>
        <v>0.43050566941181179</v>
      </c>
      <c r="X79" s="71">
        <f>0.62198*W79/(J79-W79)</f>
        <v>1.9123601719295016E-2</v>
      </c>
      <c r="Y79" s="62">
        <f xml:space="preserve"> EXP((-10440.397/T79)+(-11.29465) + (-0.027022355*T79) + (0.00001289036*T79*T79) + (-0.0000000024780681*T79^3)+(6.5459673*LN(T79)))</f>
        <v>0.8169985641775287</v>
      </c>
      <c r="Z79" s="71">
        <f>Y79*2.041772658</f>
        <v>1.6681253299629366</v>
      </c>
      <c r="AA79" s="71">
        <f>(H79*O79)/(0.62198+O79)</f>
        <v>0.66835147888369684</v>
      </c>
      <c r="AB79" s="71">
        <f>LN(AA79*0.4897705)</f>
        <v>-1.1167594427713721</v>
      </c>
      <c r="AC79" s="74">
        <f>0.62198*(Y79/(J79-Y79))</f>
        <v>3.7322307557217257E-2</v>
      </c>
      <c r="AF79" s="1169">
        <f t="shared" si="214"/>
        <v>1</v>
      </c>
      <c r="AG79" s="47">
        <f t="shared" si="215"/>
        <v>1</v>
      </c>
      <c r="AH79" s="1189">
        <f t="shared" si="216"/>
        <v>1</v>
      </c>
      <c r="AI79" s="47">
        <f t="shared" si="217"/>
        <v>500</v>
      </c>
      <c r="AJ79" s="1101">
        <f t="shared" si="218"/>
        <v>152.4</v>
      </c>
      <c r="AK79" s="1147">
        <f t="shared" si="219"/>
        <v>1</v>
      </c>
      <c r="AL79" s="99">
        <f xml:space="preserve"> IF(D79="XX", "XX", E79- $D$2)</f>
        <v>0</v>
      </c>
      <c r="AM79" s="1">
        <f xml:space="preserve"> IF(D79="XX", "XX", $AP$5 * R79 * (T79-$T$5)/$T$5 * $AR$5 * ($H$2-AL79))</f>
        <v>3.2412833152563325E-2</v>
      </c>
      <c r="AN79" s="1">
        <f xml:space="preserve"> IF(D79="XX", "XX", $AT$5 * $AP$6^2 * $AT$6 * R79 * K79^2/2)</f>
        <v>1.1631132172300259E-4</v>
      </c>
      <c r="AO79" s="1">
        <f xml:space="preserve"> IF(D79="XX", "XX", AM79 +AN79)</f>
        <v>3.2529144474286328E-2</v>
      </c>
      <c r="AP79" s="1">
        <f xml:space="preserve"> IF(D79="XX", "XX", AO79 +$Z$77)</f>
        <v>3.7529144474286326E-2</v>
      </c>
      <c r="AQ79" s="14">
        <f xml:space="preserve"> IF(D79="XX", 0, 60 * ($AC$77 * $AN$77 * (2 * ABS(AP79)/R79)^0.5))</f>
        <v>7602.1325911111708</v>
      </c>
      <c r="AR79" s="15" t="str">
        <f>IF(D79="XX", "XX", IF(AP79&lt;0, "Exfl", "Infl"))</f>
        <v>Infl</v>
      </c>
      <c r="AS79" s="14">
        <f t="shared" ref="AS79" si="221" xml:space="preserve"> IF(AR79="Infl", -AQ79, AQ79)</f>
        <v>-7602.1325911111708</v>
      </c>
      <c r="AT79" s="100">
        <f>IF(D79="XX", "XX", AS79/$O$77)</f>
        <v>-0.38691885962497091</v>
      </c>
      <c r="AU79" s="14">
        <f>IF(D79="XX", "XX", AS79*1.08*(L79-$L$6))</f>
        <v>-164206.06396800128</v>
      </c>
      <c r="AV79" s="83">
        <f xml:space="preserve"> IF(D79="XX", 0, AS79 * 1.08 * 3000/1000)</f>
        <v>-24630.909595200192</v>
      </c>
    </row>
  </sheetData>
  <mergeCells count="2">
    <mergeCell ref="O2:P2"/>
    <mergeCell ref="K2:L2"/>
  </mergeCells>
  <pageMargins left="0.7" right="0.7" top="0.75" bottom="0.75" header="0.3" footer="0.3"/>
  <pageSetup scale="58" orientation="landscape" r:id="rId1"/>
  <headerFooter>
    <oddHeader>&amp;L&amp;18&amp;F&amp;R&amp;18&amp;A</oddHeader>
    <oddFooter>&amp;L&amp;18Varkie C. Thomas, Ph.D., P.E.&amp;C&amp;18College of Architecture&amp;R&amp;18Illinois Institute Of Technology, Chicago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V79"/>
  <sheetViews>
    <sheetView zoomScale="55" zoomScaleNormal="55" workbookViewId="0">
      <selection activeCell="AV27" sqref="AV27"/>
    </sheetView>
  </sheetViews>
  <sheetFormatPr defaultColWidth="6.69921875" defaultRowHeight="21" customHeight="1"/>
  <cols>
    <col min="1" max="1" width="1.69921875" style="1065" customWidth="1"/>
    <col min="2" max="3" width="5.69921875" style="16" customWidth="1"/>
    <col min="4" max="4" width="6.19921875" style="1191" customWidth="1"/>
    <col min="5" max="6" width="6.69921875" style="16" customWidth="1"/>
    <col min="7" max="7" width="6.69921875" style="3" customWidth="1"/>
    <col min="8" max="8" width="6.69921875" style="88" customWidth="1"/>
    <col min="9" max="9" width="7.19921875" style="88" customWidth="1"/>
    <col min="10" max="10" width="6.69921875" style="88" customWidth="1"/>
    <col min="11" max="11" width="6.69921875" style="3" customWidth="1"/>
    <col min="12" max="14" width="6.69921875" style="2" customWidth="1"/>
    <col min="15" max="15" width="7.69921875" style="2" customWidth="1"/>
    <col min="16" max="16" width="6.69921875" style="2" customWidth="1"/>
    <col min="17" max="17" width="6.69921875" style="88" customWidth="1"/>
    <col min="18" max="18" width="8.69921875" style="103" customWidth="1"/>
    <col min="19" max="19" width="7.69921875" style="33" customWidth="1"/>
    <col min="20" max="21" width="6.69921875" style="3" customWidth="1"/>
    <col min="22" max="22" width="1.69921875" style="3" customWidth="1"/>
    <col min="23" max="27" width="7.19921875" style="3" customWidth="1"/>
    <col min="28" max="28" width="8.19921875" style="3" customWidth="1"/>
    <col min="29" max="29" width="7.19921875" style="3" customWidth="1"/>
    <col min="30" max="31" width="2.69921875" style="3" customWidth="1"/>
    <col min="32" max="32" width="5.69921875" style="1170" customWidth="1"/>
    <col min="33" max="33" width="5.69921875" style="1095" customWidth="1"/>
    <col min="34" max="34" width="5.69921875" style="1197" customWidth="1"/>
    <col min="35" max="36" width="6.69921875" style="1095" customWidth="1"/>
    <col min="37" max="37" width="5.69921875" style="1095" customWidth="1"/>
    <col min="38" max="38" width="7.19921875" style="4" customWidth="1"/>
    <col min="39" max="43" width="8.69921875" style="80" customWidth="1"/>
    <col min="44" max="44" width="9.69921875" style="80" customWidth="1"/>
    <col min="45" max="46" width="8.69921875" style="80" customWidth="1"/>
    <col min="47" max="47" width="9.69921875" style="87" customWidth="1"/>
    <col min="48" max="48" width="10.69921875" style="87" customWidth="1"/>
    <col min="49" max="16384" width="6.69921875" style="4"/>
  </cols>
  <sheetData>
    <row r="1" spans="1:48" s="1009" customFormat="1" ht="21" customHeight="1">
      <c r="A1" s="1009">
        <v>1</v>
      </c>
      <c r="B1" s="1171">
        <v>5</v>
      </c>
      <c r="C1" s="1151">
        <v>5</v>
      </c>
      <c r="D1" s="1154">
        <v>5</v>
      </c>
      <c r="E1" s="1138">
        <v>6</v>
      </c>
      <c r="F1" s="1138">
        <v>6</v>
      </c>
      <c r="G1" s="1138">
        <v>6</v>
      </c>
      <c r="H1" s="1138">
        <v>6</v>
      </c>
      <c r="I1" s="1151">
        <v>6.5</v>
      </c>
      <c r="J1" s="1151">
        <v>6</v>
      </c>
      <c r="K1" s="1151">
        <v>6</v>
      </c>
      <c r="L1" s="1151">
        <v>6</v>
      </c>
      <c r="M1" s="1151">
        <v>6</v>
      </c>
      <c r="N1" s="1151">
        <v>6</v>
      </c>
      <c r="O1" s="1138">
        <v>7</v>
      </c>
      <c r="P1" s="1152">
        <v>6</v>
      </c>
      <c r="Q1" s="1138">
        <v>6</v>
      </c>
      <c r="R1" s="1153">
        <v>7.5</v>
      </c>
      <c r="S1" s="1138">
        <v>7</v>
      </c>
      <c r="T1" s="1138">
        <v>6</v>
      </c>
      <c r="U1" s="1138">
        <v>6</v>
      </c>
      <c r="V1" s="107">
        <v>7</v>
      </c>
      <c r="W1" s="1138">
        <v>6.5</v>
      </c>
      <c r="X1" s="1138">
        <v>6.5</v>
      </c>
      <c r="Y1" s="1138">
        <v>6.5</v>
      </c>
      <c r="Z1" s="1138">
        <v>6.5</v>
      </c>
      <c r="AA1" s="1138">
        <v>6.5</v>
      </c>
      <c r="AB1" s="1138">
        <v>7.5</v>
      </c>
      <c r="AC1" s="1138">
        <v>6.5</v>
      </c>
      <c r="AD1" s="1138">
        <v>2</v>
      </c>
      <c r="AE1" s="1138">
        <v>2</v>
      </c>
      <c r="AF1" s="1157">
        <v>5</v>
      </c>
      <c r="AG1" s="1155">
        <v>5</v>
      </c>
      <c r="AH1" s="1155">
        <v>5</v>
      </c>
      <c r="AI1" s="1154">
        <v>6</v>
      </c>
      <c r="AJ1" s="1154">
        <v>6</v>
      </c>
      <c r="AK1" s="1154"/>
      <c r="AL1" s="1138">
        <v>6.5</v>
      </c>
      <c r="AM1" s="1138">
        <v>6.5</v>
      </c>
      <c r="AN1" s="1138">
        <v>6.5</v>
      </c>
      <c r="AO1" s="1138">
        <v>6.5</v>
      </c>
      <c r="AP1" s="1138">
        <v>6.5</v>
      </c>
      <c r="AQ1" s="1138">
        <v>6.5</v>
      </c>
      <c r="AR1" s="1138">
        <v>9</v>
      </c>
      <c r="AS1" s="1138">
        <v>6.5</v>
      </c>
      <c r="AT1" s="1138">
        <v>6.5</v>
      </c>
      <c r="AU1" s="1138">
        <v>7</v>
      </c>
      <c r="AV1" s="1138">
        <v>10</v>
      </c>
    </row>
    <row r="2" spans="1:48" ht="21" customHeight="1" thickBot="1">
      <c r="B2" s="8" t="s">
        <v>106</v>
      </c>
      <c r="C2" s="7"/>
      <c r="D2" s="1156">
        <f>'Input-Output'!BB9</f>
        <v>500</v>
      </c>
      <c r="E2" s="9" t="s">
        <v>27</v>
      </c>
      <c r="F2" s="56">
        <f>'Input-Output'!AZ68</f>
        <v>1309</v>
      </c>
      <c r="G2" s="9" t="s">
        <v>56</v>
      </c>
      <c r="H2" s="89">
        <f>'Input-Output'!BA68</f>
        <v>654.5</v>
      </c>
      <c r="I2" s="90" t="s">
        <v>107</v>
      </c>
      <c r="J2" s="4"/>
      <c r="K2" s="2063">
        <f>'Input-Output'!BC68</f>
        <v>2782800</v>
      </c>
      <c r="L2" s="2064"/>
      <c r="M2" s="31" t="s">
        <v>978</v>
      </c>
      <c r="N2" s="31"/>
      <c r="O2" s="2061">
        <f>'Input-Output'!BE68</f>
        <v>834612.65391762299</v>
      </c>
      <c r="P2" s="2062"/>
      <c r="Q2" s="88" t="s">
        <v>977</v>
      </c>
      <c r="R2" s="56">
        <f>'Input-Output'!BG68</f>
        <v>3126.9736577264616</v>
      </c>
      <c r="S2" s="84" t="s">
        <v>109</v>
      </c>
      <c r="T2" s="40"/>
      <c r="U2" s="57">
        <f>'Input-Output'!BI6 - 'Input-Output'!BI5</f>
        <v>15</v>
      </c>
      <c r="W2" s="1068" t="s">
        <v>875</v>
      </c>
      <c r="Z2" s="3" t="s">
        <v>17</v>
      </c>
      <c r="AA2" s="1198">
        <v>3.5599999999999998E-3</v>
      </c>
      <c r="AB2" s="3" t="s">
        <v>18</v>
      </c>
      <c r="AC2" s="1198">
        <v>2.3400000000000001E-3</v>
      </c>
      <c r="AD2" s="6"/>
      <c r="AE2" s="1139"/>
      <c r="AF2" s="1158" t="s">
        <v>889</v>
      </c>
      <c r="AG2" s="4"/>
      <c r="AH2" s="1192"/>
      <c r="AI2" s="4"/>
      <c r="AJ2" s="4"/>
      <c r="AK2" s="4"/>
      <c r="AL2" s="91" t="s">
        <v>140</v>
      </c>
      <c r="AM2" s="91" t="s">
        <v>135</v>
      </c>
      <c r="AN2" s="4"/>
      <c r="AO2" s="4"/>
      <c r="AP2" s="4"/>
      <c r="AQ2" s="93" t="s">
        <v>143</v>
      </c>
      <c r="AR2" s="92" t="s">
        <v>876</v>
      </c>
      <c r="AS2" s="4"/>
      <c r="AU2" s="4"/>
      <c r="AV2" s="4"/>
    </row>
    <row r="3" spans="1:48" ht="21" customHeight="1">
      <c r="B3" s="1514"/>
      <c r="C3" s="1010"/>
      <c r="D3" s="1515"/>
      <c r="E3" s="1039" t="s">
        <v>57</v>
      </c>
      <c r="F3" s="1010"/>
      <c r="G3" s="1011" t="s">
        <v>924</v>
      </c>
      <c r="H3" s="1012"/>
      <c r="I3" s="1012"/>
      <c r="J3" s="1012"/>
      <c r="K3" s="1012" t="s">
        <v>925</v>
      </c>
      <c r="L3" s="1013" t="s">
        <v>17</v>
      </c>
      <c r="M3" s="1013" t="s">
        <v>18</v>
      </c>
      <c r="N3" s="1013" t="s">
        <v>30</v>
      </c>
      <c r="O3" s="68" t="s">
        <v>34</v>
      </c>
      <c r="P3" s="1013" t="s">
        <v>31</v>
      </c>
      <c r="Q3" s="1012" t="s">
        <v>32</v>
      </c>
      <c r="R3" s="1041" t="s">
        <v>33</v>
      </c>
      <c r="S3" s="1014" t="s">
        <v>35</v>
      </c>
      <c r="T3" s="68" t="s">
        <v>36</v>
      </c>
      <c r="U3" s="69" t="s">
        <v>37</v>
      </c>
      <c r="W3" s="1199" t="s">
        <v>113</v>
      </c>
      <c r="X3" s="1061"/>
      <c r="Y3" s="1061"/>
      <c r="Z3" s="1061"/>
      <c r="AA3" s="1061"/>
      <c r="AB3" s="1061"/>
      <c r="AC3" s="1200"/>
      <c r="AF3" s="1159" t="s">
        <v>890</v>
      </c>
      <c r="AG3" s="4"/>
      <c r="AH3" s="1192"/>
      <c r="AI3" s="4"/>
      <c r="AJ3" s="1108" t="s">
        <v>877</v>
      </c>
      <c r="AK3" s="1108"/>
      <c r="AL3" s="91" t="s">
        <v>141</v>
      </c>
      <c r="AM3" s="91" t="s">
        <v>136</v>
      </c>
      <c r="AN3" s="4"/>
      <c r="AO3" s="4"/>
      <c r="AP3" s="92" t="s">
        <v>146</v>
      </c>
      <c r="AQ3" s="4"/>
      <c r="AR3" s="94" t="s">
        <v>145</v>
      </c>
      <c r="AS3" s="4"/>
      <c r="AT3" s="85" t="s">
        <v>883</v>
      </c>
      <c r="AV3" s="4"/>
    </row>
    <row r="4" spans="1:48" ht="21" customHeight="1" thickBot="1">
      <c r="B4" s="1516"/>
      <c r="C4" s="1517"/>
      <c r="D4" s="1518"/>
      <c r="E4" s="1015" t="s">
        <v>11</v>
      </c>
      <c r="F4" s="1016" t="s">
        <v>12</v>
      </c>
      <c r="G4" s="77" t="s">
        <v>15</v>
      </c>
      <c r="H4" s="77" t="s">
        <v>14</v>
      </c>
      <c r="I4" s="77" t="s">
        <v>16</v>
      </c>
      <c r="J4" s="77" t="s">
        <v>13</v>
      </c>
      <c r="K4" s="77" t="s">
        <v>53</v>
      </c>
      <c r="L4" s="78" t="s">
        <v>38</v>
      </c>
      <c r="M4" s="78" t="s">
        <v>38</v>
      </c>
      <c r="N4" s="78" t="s">
        <v>38</v>
      </c>
      <c r="O4" s="76" t="s">
        <v>41</v>
      </c>
      <c r="P4" s="78" t="s">
        <v>39</v>
      </c>
      <c r="Q4" s="77" t="s">
        <v>40</v>
      </c>
      <c r="R4" s="104" t="s">
        <v>19</v>
      </c>
      <c r="S4" s="1017" t="s">
        <v>42</v>
      </c>
      <c r="T4" s="76" t="s">
        <v>43</v>
      </c>
      <c r="U4" s="79" t="s">
        <v>43</v>
      </c>
      <c r="W4" s="1201" t="s">
        <v>44</v>
      </c>
      <c r="X4" s="38" t="s">
        <v>45</v>
      </c>
      <c r="Y4" s="38" t="s">
        <v>46</v>
      </c>
      <c r="Z4" s="38" t="s">
        <v>47</v>
      </c>
      <c r="AA4" s="38" t="s">
        <v>48</v>
      </c>
      <c r="AB4" s="38" t="s">
        <v>49</v>
      </c>
      <c r="AC4" s="39" t="s">
        <v>50</v>
      </c>
      <c r="AF4" s="1160" t="s">
        <v>891</v>
      </c>
      <c r="AG4" s="4"/>
      <c r="AH4" s="1192"/>
      <c r="AI4" s="4"/>
      <c r="AJ4" s="4"/>
      <c r="AK4" s="4"/>
      <c r="AL4" s="1121" t="s">
        <v>114</v>
      </c>
      <c r="AM4" s="91" t="s">
        <v>142</v>
      </c>
      <c r="AN4" s="4"/>
      <c r="AO4" s="4"/>
      <c r="AP4" s="1107" t="s">
        <v>144</v>
      </c>
      <c r="AQ4" s="4"/>
      <c r="AR4" s="86" t="s">
        <v>133</v>
      </c>
      <c r="AS4" s="4"/>
      <c r="AU4" s="4"/>
      <c r="AV4" s="4"/>
    </row>
    <row r="5" spans="1:48" ht="21" customHeight="1">
      <c r="B5" s="43" t="s">
        <v>923</v>
      </c>
      <c r="C5" s="18"/>
      <c r="D5" s="1180"/>
      <c r="E5" s="25">
        <v>0</v>
      </c>
      <c r="F5" s="25">
        <v>0</v>
      </c>
      <c r="G5" s="26">
        <f xml:space="preserve"> ( 101325*(1-2.25577*(10^(-5))*F5)^5.2555 ) /1000</f>
        <v>101.325</v>
      </c>
      <c r="H5" s="26">
        <f>G5*0.2953</f>
        <v>29.921272500000001</v>
      </c>
      <c r="I5" s="26">
        <f>J5*27.7070465550844</f>
        <v>406.03447543319317</v>
      </c>
      <c r="J5" s="26">
        <f>H5/2.041772658</f>
        <v>14.654556364423604</v>
      </c>
      <c r="K5" s="26">
        <f>('Input-Output'!BH5+'Input-Output'!BH6)/2</f>
        <v>10</v>
      </c>
      <c r="L5" s="27">
        <f>'Input-Output'!BH11</f>
        <v>75</v>
      </c>
      <c r="M5" s="27">
        <f>'Input-Output'!BH12</f>
        <v>62</v>
      </c>
      <c r="N5" s="28">
        <f>100.45+33.193*AB5+2.319*AB5^2+0.17074*AB5^3+1.2063*(AA5*0.4897705)^3</f>
        <v>53.291933873220287</v>
      </c>
      <c r="O5" s="29">
        <f>((1093-0.556*M5)*X5 - 0.24*(L5-M5))/(1093 + 0.444*L5-M5)</f>
        <v>8.9200822277354305E-3</v>
      </c>
      <c r="P5" s="28">
        <f>((O5/AC5)/(1-(1-(O5/AC5))*(Y5/J5)))*100</f>
        <v>48.128472062697938</v>
      </c>
      <c r="Q5" s="41">
        <f>0.7543*(T5*(1+1.6078*O5))/H5</f>
        <v>13.672833203605759</v>
      </c>
      <c r="R5" s="42">
        <f xml:space="preserve"> 1/Q5</f>
        <v>7.3137731230150826E-2</v>
      </c>
      <c r="S5" s="37">
        <f>0.24*L5+O5*(1061+0.444*L5)</f>
        <v>27.76124598181088</v>
      </c>
      <c r="T5" s="30">
        <f>L5+459.7</f>
        <v>534.70000000000005</v>
      </c>
      <c r="U5" s="44">
        <f>M5+459.7</f>
        <v>521.70000000000005</v>
      </c>
      <c r="W5" s="1202">
        <f xml:space="preserve"> EXP((-10440.397/U5)+(-11.29465) + (-0.027022355*U5) + (0.00001289036*U5*U5) + (-0.0000000024780681*U5^3)+(6.5459673*LN(U5)))</f>
        <v>0.27548167941417362</v>
      </c>
      <c r="X5" s="21">
        <f>0.62198*W5/(J5-W5)</f>
        <v>1.1916211488953355E-2</v>
      </c>
      <c r="Y5" s="23">
        <f xml:space="preserve"> EXP((-10440.397/T5)+(-11.29465) + (-0.027022355*T5) + (0.00001289036*T5*T5) + (-0.0000000024780681*T5^3)+(6.5459673*LN(T5)))</f>
        <v>0.43050566941181179</v>
      </c>
      <c r="Z5" s="21">
        <f>Y5*2.041772658</f>
        <v>0.87899470491902432</v>
      </c>
      <c r="AA5" s="21">
        <f>(H5*O5)/(0.62198+O5)</f>
        <v>0.42304672098954677</v>
      </c>
      <c r="AB5" s="21">
        <f>LN(AA5*0.4897705)</f>
        <v>-1.574091019465897</v>
      </c>
      <c r="AC5" s="70">
        <f>0.62198*(Y5/(J5-Y5))</f>
        <v>1.8824870777117031E-2</v>
      </c>
      <c r="AF5" s="1161" t="s">
        <v>74</v>
      </c>
      <c r="AG5" s="1122"/>
      <c r="AH5" s="1193"/>
      <c r="AI5" s="1141" t="s">
        <v>54</v>
      </c>
      <c r="AJ5" s="1143">
        <v>0.29610503437779401</v>
      </c>
      <c r="AK5" s="1140" t="s">
        <v>880</v>
      </c>
      <c r="AL5" s="1120">
        <v>4.0185657738752996</v>
      </c>
      <c r="AM5" s="1040" t="s">
        <v>55</v>
      </c>
      <c r="AN5" s="1120">
        <v>0.14503768078946899</v>
      </c>
      <c r="AO5" s="1124" t="s">
        <v>137</v>
      </c>
      <c r="AP5" s="1125">
        <v>5.9800000000000001E-4</v>
      </c>
      <c r="AQ5" s="1126" t="s">
        <v>60</v>
      </c>
      <c r="AR5" s="1127">
        <v>32.17</v>
      </c>
      <c r="AS5" s="1128" t="s">
        <v>138</v>
      </c>
      <c r="AT5" s="1129">
        <v>1.2999999999999999E-2</v>
      </c>
      <c r="AU5" s="1007" t="s">
        <v>926</v>
      </c>
      <c r="AV5" s="1119">
        <f>'Input-Output'!BI10</f>
        <v>7981</v>
      </c>
    </row>
    <row r="6" spans="1:48" ht="21" customHeight="1" thickBot="1">
      <c r="B6" s="45" t="s">
        <v>105</v>
      </c>
      <c r="C6" s="46"/>
      <c r="D6" s="1181"/>
      <c r="E6" s="47">
        <f>E79</f>
        <v>500</v>
      </c>
      <c r="F6" s="47">
        <f>F79</f>
        <v>152.4</v>
      </c>
      <c r="G6" s="48">
        <f xml:space="preserve"> ( 101325*(1-2.25577*(10^(-5))*F6)^5.2555 ) /1000</f>
        <v>99.507669506043712</v>
      </c>
      <c r="H6" s="48">
        <f>G6*0.2953</f>
        <v>29.38461480513471</v>
      </c>
      <c r="I6" s="48">
        <f>J6*27.7070465550844</f>
        <v>398.75198015757229</v>
      </c>
      <c r="J6" s="48">
        <f>H6/2.041772658</f>
        <v>14.391717260979556</v>
      </c>
      <c r="K6" s="49">
        <f>K79</f>
        <v>10</v>
      </c>
      <c r="L6" s="49">
        <f>'Input-Output'!BH11</f>
        <v>75</v>
      </c>
      <c r="M6" s="49">
        <f>'Input-Output'!BH12</f>
        <v>62</v>
      </c>
      <c r="N6" s="49">
        <f t="shared" ref="N6:U6" si="0">N79</f>
        <v>-24.328352727300523</v>
      </c>
      <c r="O6" s="50">
        <f t="shared" si="0"/>
        <v>3.5491985623470134E-4</v>
      </c>
      <c r="P6" s="54">
        <f t="shared" si="0"/>
        <v>100</v>
      </c>
      <c r="Q6" s="51">
        <f t="shared" si="0"/>
        <v>11.26278988465387</v>
      </c>
      <c r="R6" s="52">
        <f t="shared" si="0"/>
        <v>8.8787947767946143E-2</v>
      </c>
      <c r="S6" s="53">
        <f t="shared" si="0"/>
        <v>-4.426581720858346</v>
      </c>
      <c r="T6" s="54">
        <f t="shared" si="0"/>
        <v>439.7</v>
      </c>
      <c r="U6" s="55">
        <f t="shared" si="0"/>
        <v>439.7</v>
      </c>
      <c r="W6" s="1203">
        <f xml:space="preserve"> IF(E6="XX", "XX", EXP((-10440.397/U6)+(-11.29465) + (-0.027022355*U6) + (0.00001289036*U6*U6) + (-0.0000000024780681*U6^3)+(6.5459673*LN(U6))) )</f>
        <v>8.2308280362673614E-3</v>
      </c>
      <c r="X6" s="71">
        <f>IF(E6="XX", "XX", 0.62198*W6/(J6-W6))</f>
        <v>3.5592277615476502E-4</v>
      </c>
      <c r="Y6" s="72">
        <f xml:space="preserve"> IF(E6="XX", "XX", EXP((-10440.397/T6)+(-11.29465) + (-0.027022355*T6) + (0.00001289036*T6*T6) + (-0.0000000024780681*T6^3)+(6.5459673*LN(T6))) )</f>
        <v>8.2308280362673614E-3</v>
      </c>
      <c r="Z6" s="71">
        <f>IF(E6="XX", "XX", Y6*2.041772658 )</f>
        <v>1.6805479637150532E-2</v>
      </c>
      <c r="AA6" s="71">
        <f>IF(E6="XX", "XX", (H6*O6)/(0.62198+O6))</f>
        <v>1.675815212901717E-2</v>
      </c>
      <c r="AB6" s="71">
        <f>IF(E6="XX", "XX", LN(AA6*0.4897705))</f>
        <v>-4.8026888097812712</v>
      </c>
      <c r="AC6" s="73">
        <f>IF(E6="XX", "XX", 0.62198*(Y6/(J6-Y6)))</f>
        <v>3.5592277615476502E-4</v>
      </c>
      <c r="AF6" s="1162" t="s">
        <v>75</v>
      </c>
      <c r="AG6" s="1123"/>
      <c r="AH6" s="1194"/>
      <c r="AI6" s="1142" t="s">
        <v>54</v>
      </c>
      <c r="AJ6" s="2304">
        <v>7.3684257279742205E-2</v>
      </c>
      <c r="AK6" s="1005" t="s">
        <v>15</v>
      </c>
      <c r="AL6" s="81">
        <v>0.24884500000000001</v>
      </c>
      <c r="AM6" s="82" t="s">
        <v>55</v>
      </c>
      <c r="AN6" s="81">
        <v>3.6091901676055402E-2</v>
      </c>
      <c r="AO6" s="1130" t="s">
        <v>59</v>
      </c>
      <c r="AP6" s="1150">
        <v>0.4</v>
      </c>
      <c r="AQ6" s="1131" t="s">
        <v>147</v>
      </c>
      <c r="AR6" s="1132">
        <v>0.65</v>
      </c>
      <c r="AS6" s="1133" t="s">
        <v>139</v>
      </c>
      <c r="AT6" s="1150">
        <v>6.5000000000000002E-2</v>
      </c>
      <c r="AU6" s="1134" t="s">
        <v>878</v>
      </c>
      <c r="AV6" s="1135">
        <v>0.24</v>
      </c>
    </row>
    <row r="7" spans="1:48" s="1009" customFormat="1" ht="21" customHeight="1" thickBot="1">
      <c r="B7" s="1172"/>
      <c r="D7" s="2298"/>
      <c r="E7" s="107"/>
      <c r="L7" s="1064"/>
      <c r="M7" s="1064"/>
      <c r="Q7" s="1038"/>
      <c r="R7" s="1042"/>
      <c r="AF7" s="1163"/>
      <c r="AG7" s="1096"/>
      <c r="AH7" s="1195"/>
      <c r="AI7" s="1097"/>
      <c r="AJ7" s="1097"/>
      <c r="AK7" s="1097"/>
    </row>
    <row r="8" spans="1:48" ht="21" customHeight="1">
      <c r="B8" s="1173" t="s">
        <v>51</v>
      </c>
      <c r="C8" s="1048" t="s">
        <v>100</v>
      </c>
      <c r="D8" s="1183" t="s">
        <v>99</v>
      </c>
      <c r="E8" s="1513" t="s">
        <v>57</v>
      </c>
      <c r="F8" s="1049"/>
      <c r="G8" s="1050" t="s">
        <v>924</v>
      </c>
      <c r="H8" s="1051"/>
      <c r="I8" s="1051"/>
      <c r="J8" s="1051"/>
      <c r="K8" s="1051" t="s">
        <v>925</v>
      </c>
      <c r="L8" s="1052" t="s">
        <v>17</v>
      </c>
      <c r="M8" s="1052" t="s">
        <v>18</v>
      </c>
      <c r="N8" s="1052" t="s">
        <v>30</v>
      </c>
      <c r="O8" s="1053" t="s">
        <v>34</v>
      </c>
      <c r="P8" s="1052" t="s">
        <v>31</v>
      </c>
      <c r="Q8" s="1051" t="s">
        <v>32</v>
      </c>
      <c r="R8" s="1054" t="s">
        <v>33</v>
      </c>
      <c r="S8" s="1053" t="s">
        <v>35</v>
      </c>
      <c r="T8" s="1053" t="s">
        <v>36</v>
      </c>
      <c r="U8" s="1055" t="s">
        <v>37</v>
      </c>
      <c r="W8" s="1199" t="s">
        <v>113</v>
      </c>
      <c r="X8" s="1053"/>
      <c r="Y8" s="1053"/>
      <c r="Z8" s="1053"/>
      <c r="AA8" s="1053"/>
      <c r="AB8" s="1053"/>
      <c r="AC8" s="1055"/>
      <c r="AF8" s="1164" t="s">
        <v>51</v>
      </c>
      <c r="AG8" s="1098" t="s">
        <v>100</v>
      </c>
      <c r="AH8" s="1183" t="s">
        <v>99</v>
      </c>
      <c r="AI8" s="1513" t="s">
        <v>57</v>
      </c>
      <c r="AJ8" s="1099"/>
      <c r="AK8" s="1145" t="s">
        <v>66</v>
      </c>
      <c r="AL8" s="1058" t="s">
        <v>66</v>
      </c>
      <c r="AM8" s="1059" t="s">
        <v>58</v>
      </c>
      <c r="AN8" s="1059" t="s">
        <v>61</v>
      </c>
      <c r="AO8" s="1059" t="s">
        <v>62</v>
      </c>
      <c r="AP8" s="1059" t="s">
        <v>63</v>
      </c>
      <c r="AQ8" s="1060" t="s">
        <v>64</v>
      </c>
      <c r="AR8" s="1061" t="s">
        <v>67</v>
      </c>
      <c r="AS8" s="1060" t="s">
        <v>69</v>
      </c>
      <c r="AT8" s="1062" t="s">
        <v>70</v>
      </c>
      <c r="AU8" s="1060" t="s">
        <v>148</v>
      </c>
      <c r="AV8" s="95" t="s">
        <v>149</v>
      </c>
    </row>
    <row r="9" spans="1:48" ht="21" customHeight="1" thickBot="1">
      <c r="A9" s="1066"/>
      <c r="B9" s="1165" t="s">
        <v>25</v>
      </c>
      <c r="C9" s="1029" t="s">
        <v>52</v>
      </c>
      <c r="D9" s="1184" t="s">
        <v>52</v>
      </c>
      <c r="E9" s="1034" t="s">
        <v>11</v>
      </c>
      <c r="F9" s="1034" t="s">
        <v>12</v>
      </c>
      <c r="G9" s="1035" t="s">
        <v>15</v>
      </c>
      <c r="H9" s="1035" t="s">
        <v>14</v>
      </c>
      <c r="I9" s="1035" t="s">
        <v>16</v>
      </c>
      <c r="J9" s="1035" t="s">
        <v>13</v>
      </c>
      <c r="K9" s="1035" t="s">
        <v>53</v>
      </c>
      <c r="L9" s="1036" t="s">
        <v>38</v>
      </c>
      <c r="M9" s="1036" t="s">
        <v>38</v>
      </c>
      <c r="N9" s="1036" t="s">
        <v>38</v>
      </c>
      <c r="O9" s="1029" t="s">
        <v>41</v>
      </c>
      <c r="P9" s="1036" t="s">
        <v>39</v>
      </c>
      <c r="Q9" s="1035" t="s">
        <v>40</v>
      </c>
      <c r="R9" s="1043" t="s">
        <v>19</v>
      </c>
      <c r="S9" s="1029" t="s">
        <v>42</v>
      </c>
      <c r="T9" s="1029" t="s">
        <v>43</v>
      </c>
      <c r="U9" s="1037" t="s">
        <v>43</v>
      </c>
      <c r="W9" s="1204" t="s">
        <v>44</v>
      </c>
      <c r="X9" s="1030" t="s">
        <v>45</v>
      </c>
      <c r="Y9" s="1030" t="s">
        <v>46</v>
      </c>
      <c r="Z9" s="1030" t="s">
        <v>47</v>
      </c>
      <c r="AA9" s="1030" t="s">
        <v>48</v>
      </c>
      <c r="AB9" s="1030" t="s">
        <v>49</v>
      </c>
      <c r="AC9" s="1031" t="s">
        <v>50</v>
      </c>
      <c r="AF9" s="1165" t="s">
        <v>25</v>
      </c>
      <c r="AG9" s="1034" t="s">
        <v>52</v>
      </c>
      <c r="AH9" s="1196" t="s">
        <v>52</v>
      </c>
      <c r="AI9" s="1034" t="s">
        <v>11</v>
      </c>
      <c r="AJ9" s="1102" t="s">
        <v>12</v>
      </c>
      <c r="AK9" s="1149" t="s">
        <v>881</v>
      </c>
      <c r="AL9" s="1021" t="s">
        <v>111</v>
      </c>
      <c r="AM9" s="1022" t="s">
        <v>16</v>
      </c>
      <c r="AN9" s="1022" t="s">
        <v>16</v>
      </c>
      <c r="AO9" s="1023" t="s">
        <v>76</v>
      </c>
      <c r="AP9" s="1024" t="s">
        <v>77</v>
      </c>
      <c r="AQ9" s="1025" t="s">
        <v>879</v>
      </c>
      <c r="AR9" s="1026" t="s">
        <v>68</v>
      </c>
      <c r="AS9" s="1025" t="s">
        <v>65</v>
      </c>
      <c r="AT9" s="1023" t="s">
        <v>71</v>
      </c>
      <c r="AU9" s="1025" t="s">
        <v>134</v>
      </c>
      <c r="AV9" s="96" t="s">
        <v>150</v>
      </c>
    </row>
    <row r="10" spans="1:48" ht="21" customHeight="1">
      <c r="B10" s="1174" t="str">
        <f>'Input-Output'!BK5</f>
        <v>Section &gt;&gt;</v>
      </c>
      <c r="C10" s="1070"/>
      <c r="D10" s="1032" t="str">
        <f>'Input-Output'!BM5</f>
        <v>8-din</v>
      </c>
      <c r="E10" s="1070" t="s">
        <v>873</v>
      </c>
      <c r="F10" s="1033">
        <f>'Input-Output'!BO5</f>
        <v>3</v>
      </c>
      <c r="G10" s="1071" t="s">
        <v>867</v>
      </c>
      <c r="H10" s="1072"/>
      <c r="I10" s="1033">
        <f>'Input-Output'!BI44</f>
        <v>50</v>
      </c>
      <c r="J10" s="1072" t="s">
        <v>874</v>
      </c>
      <c r="K10" s="1028">
        <f>'Input-Output'!BI46</f>
        <v>475.59927922569437</v>
      </c>
      <c r="L10" s="1073" t="s">
        <v>885</v>
      </c>
      <c r="M10" s="1074"/>
      <c r="N10" s="1075"/>
      <c r="O10" s="1033">
        <f>'Input-Output'!BI47</f>
        <v>7133.9891883854152</v>
      </c>
      <c r="P10" s="1076" t="s">
        <v>869</v>
      </c>
      <c r="Q10" s="1077"/>
      <c r="R10" s="1033">
        <f>'Input-Output'!BI45</f>
        <v>54000</v>
      </c>
      <c r="S10" s="1076" t="s">
        <v>868</v>
      </c>
      <c r="T10" s="1078"/>
      <c r="U10" s="1056">
        <f>'Input-Output'!BI50</f>
        <v>60</v>
      </c>
      <c r="W10" s="1111" t="s">
        <v>103</v>
      </c>
      <c r="X10" s="1136"/>
      <c r="Y10" s="1137"/>
      <c r="Z10" s="1113">
        <f>'Input-Output'!BI32</f>
        <v>1.4999999999999999E-2</v>
      </c>
      <c r="AA10" s="35" t="s">
        <v>102</v>
      </c>
      <c r="AB10" s="10"/>
      <c r="AC10" s="1057">
        <f>'Input-Output'!BI31</f>
        <v>0.65</v>
      </c>
      <c r="AF10" s="1166" t="str">
        <f>B10</f>
        <v>Section &gt;&gt;</v>
      </c>
      <c r="AG10" s="1104"/>
      <c r="AH10" s="1105" t="str">
        <f>D10</f>
        <v>8-din</v>
      </c>
      <c r="AI10" s="1104" t="str">
        <f>E10</f>
        <v>Flrs/S</v>
      </c>
      <c r="AJ10" s="1106">
        <f>F10</f>
        <v>3</v>
      </c>
      <c r="AK10" s="1207">
        <f>SUM(AK11:AK13)</f>
        <v>2</v>
      </c>
      <c r="AL10" s="1114" t="s">
        <v>112</v>
      </c>
      <c r="AM10" s="1115"/>
      <c r="AN10" s="1116">
        <f>'Input-Output'!BI55</f>
        <v>46.370929724505203</v>
      </c>
      <c r="AO10" s="1114" t="s">
        <v>882</v>
      </c>
      <c r="AP10" s="1117"/>
      <c r="AQ10" s="1118"/>
      <c r="AR10" s="1080">
        <f xml:space="preserve"> (SUM(AQ11:AQ13)/AK10) * AJ10</f>
        <v>12039.869643632293</v>
      </c>
      <c r="AS10" s="1114" t="s">
        <v>884</v>
      </c>
      <c r="AT10" s="1117"/>
      <c r="AU10" s="1118"/>
      <c r="AV10" s="1148">
        <f xml:space="preserve"> (SUM(AV11:AV13)/AK10) * AJ10</f>
        <v>-103777.41559589567</v>
      </c>
    </row>
    <row r="11" spans="1:48" ht="21" customHeight="1">
      <c r="B11" s="1175">
        <f>'Input-Output'!BK6</f>
        <v>61</v>
      </c>
      <c r="C11" s="34">
        <f>'Input-Output'!BL6</f>
        <v>0</v>
      </c>
      <c r="D11" s="2299" t="str">
        <f>'Input-Output'!BM6</f>
        <v>XX</v>
      </c>
      <c r="E11" s="25" t="str">
        <f>'Input-Output'!BN6</f>
        <v>XX</v>
      </c>
      <c r="F11" s="36" t="str">
        <f>'Input-Output'!BO6</f>
        <v>XX</v>
      </c>
      <c r="G11" s="26" t="str">
        <f>IF(E11="XX","XX",((101325*(1-2.25577*(10^(-5))*F11)^5.2555)/1000))</f>
        <v>XX</v>
      </c>
      <c r="H11" s="26" t="str">
        <f xml:space="preserve"> IF(E11="XX", "XX", G11*$AJ$5)</f>
        <v>XX</v>
      </c>
      <c r="I11" s="26" t="str">
        <f>IF(E11="XX", "XX", G11*$AL$5)</f>
        <v>XX</v>
      </c>
      <c r="J11" s="26" t="str">
        <f xml:space="preserve"> IF(E11="XX", "XX",G11*$AN$5)</f>
        <v>XX</v>
      </c>
      <c r="K11" s="26" t="str">
        <f xml:space="preserve"> IF(E11="XX", "XX", ( $K$79 + $U$2 * (E11-$D$2)/$F$2 ) )</f>
        <v>XX</v>
      </c>
      <c r="L11" s="27" t="str">
        <f xml:space="preserve"> IF(E11="XX", "XX", $L$79 - $AA$2*(E11-$E$79))</f>
        <v>XX</v>
      </c>
      <c r="M11" s="27" t="str">
        <f>IF(E11="XX","XX ", $M$79-$AC$2*(E11-$E$79))</f>
        <v xml:space="preserve">XX </v>
      </c>
      <c r="N11" s="28" t="str">
        <f>IF(E11="XX","XX",100.45+33.193*AB11+2.319*AB11^2+0.17074*AB11^3+1.2063*(AA11*0.4897705)^3)</f>
        <v>XX</v>
      </c>
      <c r="O11" s="29" t="str">
        <f>IF(E11="XX","XX ",((1093-0.556*M11)*X11-0.24*(L11-M11))/(1093+0.444*L11-M11))</f>
        <v xml:space="preserve">XX </v>
      </c>
      <c r="P11" s="28" t="str">
        <f xml:space="preserve"> IF(E11="XX", "XX", ((O11/AC11)/(1-(1-(O11/AC11))*(Y11/J11)))*100)</f>
        <v>XX</v>
      </c>
      <c r="Q11" s="41" t="str">
        <f xml:space="preserve"> IF(E11="XX", "XX", 0.7543*(T11*(1+1.6078*O11))/H11)</f>
        <v>XX</v>
      </c>
      <c r="R11" s="42" t="str">
        <f xml:space="preserve"> IF(E11="XX", "XX", 1/Q11)</f>
        <v>XX</v>
      </c>
      <c r="S11" s="37" t="str">
        <f>IF(E11="XX", "XX", 0.24*L11+O11*(1061+0.444*L11))</f>
        <v>XX</v>
      </c>
      <c r="T11" s="30" t="str">
        <f>IF(E11="XX", "XX", L11+459.7)</f>
        <v>XX</v>
      </c>
      <c r="U11" s="44" t="str">
        <f>IF(E11="XX", "XX", M11+459.7)</f>
        <v>XX</v>
      </c>
      <c r="W11" s="1205" t="str">
        <f xml:space="preserve"> IF(E11="XX", "XX", EXP((-10440.397/U11)+(-11.29465) + (-0.027022355*U11) + (0.00001289036*U11*U11) + (-0.0000000024780681*U11^3)+(6.5459673*LN(U11))) )</f>
        <v>XX</v>
      </c>
      <c r="X11" s="21" t="str">
        <f>IF(E11="XX", "XX", 0.62198*W11/(J11-W11))</f>
        <v>XX</v>
      </c>
      <c r="Y11" s="23" t="str">
        <f xml:space="preserve"> IF(E11="XX", "XX", EXP((-10440.397/T11)+(-11.29465) + (-0.027022355*T11) + (0.00001289036*T11*T11) + (-0.0000000024780681*T11^3)+(6.5459673*LN(T11))) )</f>
        <v>XX</v>
      </c>
      <c r="Z11" s="21" t="str">
        <f>IF(E11="XX", "XX", Y11*2.041772658 )</f>
        <v>XX</v>
      </c>
      <c r="AA11" s="21" t="str">
        <f>IF(E11="XX", "XX", (H11*O11)/(0.62198+O11))</f>
        <v>XX</v>
      </c>
      <c r="AB11" s="21" t="str">
        <f>IF(E11="XX", "XX", LN(AA11*0.4897705))</f>
        <v>XX</v>
      </c>
      <c r="AC11" s="1020" t="str">
        <f>IF(E11="XX", "XX", 0.62198*(Y11/(J11-Y11)))</f>
        <v>XX</v>
      </c>
      <c r="AF11" s="1167">
        <f>B11</f>
        <v>61</v>
      </c>
      <c r="AG11" s="25">
        <f t="shared" ref="AG11:AJ13" si="1">C11</f>
        <v>0</v>
      </c>
      <c r="AH11" s="1187" t="str">
        <f t="shared" si="1"/>
        <v>XX</v>
      </c>
      <c r="AI11" s="25" t="str">
        <f t="shared" si="1"/>
        <v>XX</v>
      </c>
      <c r="AJ11" s="1103" t="str">
        <f t="shared" si="1"/>
        <v>XX</v>
      </c>
      <c r="AK11" s="1206">
        <f>IF( (AG11&gt;0),1, 0)</f>
        <v>0</v>
      </c>
      <c r="AL11" s="1109" t="str">
        <f xml:space="preserve"> IF(D11="XX", "XX", E11- $D$2)</f>
        <v>XX</v>
      </c>
      <c r="AM11" s="1018" t="str">
        <f xml:space="preserve"> IF(D11="XX", "XX", $AP$5 * R11 * (T11-$T$5)/$T$5 * $AR$5 * ($H$2-AL11))</f>
        <v>XX</v>
      </c>
      <c r="AN11" s="1018" t="str">
        <f xml:space="preserve"> IF(D11="XX", "XX", $AT$5 * $AP$6^2 * $AT$6 * R11 * K11^2/2)</f>
        <v>XX</v>
      </c>
      <c r="AO11" s="1018" t="str">
        <f xml:space="preserve"> IF(D11="XX", "XX", AM11 +AN11)</f>
        <v>XX</v>
      </c>
      <c r="AP11" s="1018" t="str">
        <f xml:space="preserve"> IF(D11="XX", "XX", AO11 +$Z$10)</f>
        <v>XX</v>
      </c>
      <c r="AQ11" s="12">
        <f xml:space="preserve"> IF(D11="XX", 0, 60 * ($AC$10 * $AN$10 * (2 * ABS(AP11)/R11)^0.5))</f>
        <v>0</v>
      </c>
      <c r="AR11" s="1019" t="str">
        <f>IF(D11="XX", "XX", IF(AP11&lt;0, "Exfl", "Infl"))</f>
        <v>XX</v>
      </c>
      <c r="AS11" s="1006">
        <f xml:space="preserve"> IF(AR11="Infl", -AQ11, AQ11)</f>
        <v>0</v>
      </c>
      <c r="AT11" s="1110" t="str">
        <f>IF(D11="XX", "XX", AS11/$O$10)</f>
        <v>XX</v>
      </c>
      <c r="AU11" s="1006" t="str">
        <f>IF(D11="XX", "XX", AS11*1.08*(L11-$L$6))</f>
        <v>XX</v>
      </c>
      <c r="AV11" s="1047">
        <f xml:space="preserve"> IF(D11="XX", 0, AS11 * 1.08 * $AV$5/1000)</f>
        <v>0</v>
      </c>
    </row>
    <row r="12" spans="1:48" ht="21" customHeight="1">
      <c r="B12" s="1175">
        <f>'Input-Output'!BK7</f>
        <v>60</v>
      </c>
      <c r="C12" s="34">
        <f>'Input-Output'!BL7</f>
        <v>2</v>
      </c>
      <c r="D12" s="2299">
        <f>'Input-Output'!BM7</f>
        <v>101</v>
      </c>
      <c r="E12" s="25">
        <f>'Input-Output'!BN7</f>
        <v>1789</v>
      </c>
      <c r="F12" s="36">
        <f>'Input-Output'!BO7</f>
        <v>545.28719999999998</v>
      </c>
      <c r="G12" s="26">
        <f>IF(E12="XX","XX",((101325*(1-2.25577*(10^(-5))*F12)^5.2555)/1000))</f>
        <v>94.944016522576575</v>
      </c>
      <c r="H12" s="26">
        <f xml:space="preserve"> IF(E12="XX", "XX", G12*$AJ$5)</f>
        <v>28.113401276383378</v>
      </c>
      <c r="I12" s="26">
        <f>IF(E12="XX", "XX", G12*$AL$5)</f>
        <v>381.53877523187714</v>
      </c>
      <c r="J12" s="26">
        <f xml:space="preserve"> IF(E12="XX", "XX",G12*$AN$5)</f>
        <v>13.770459961271531</v>
      </c>
      <c r="K12" s="26">
        <f xml:space="preserve"> IF(E12="XX", "XX", ( $K$79 + $U$2 * (E12-$D$2)/$F$2 ) )</f>
        <v>24.770817417876241</v>
      </c>
      <c r="L12" s="27">
        <f xml:space="preserve"> IF(E12="XX", "XX", $L$79 - $AA$2*(E12-$E$79))</f>
        <v>-24.588839999999998</v>
      </c>
      <c r="M12" s="17">
        <f>IF(E12="XX","XX ", $M$79-$AC$2*(E12-$E$79))</f>
        <v>-23.016259999999999</v>
      </c>
      <c r="N12" s="28">
        <f>IF(E12="XX","XX",100.45+33.193*AB12+2.319*AB12^2+0.17074*AB12^3+1.2063*(AA12*0.4897705)^3)</f>
        <v>-11.334592889717555</v>
      </c>
      <c r="O12" s="29">
        <f>IF(E12="XX","XX ",((1093-0.556*M12)*X12-0.24*(L12-M12))/(1093+0.444*L12-M12))</f>
        <v>6.595353969169489E-4</v>
      </c>
      <c r="P12" s="28">
        <f xml:space="preserve"> IF(E12="XX", "XX", ((O12/AC12)/(1-(1-(O12/AC12))*(Y12/J12)))*100)</f>
        <v>225.35725133161554</v>
      </c>
      <c r="Q12" s="41">
        <f xml:space="preserve"> IF(E12="XX", "XX", 0.7543*(T12*(1+1.6078*O12))/H12)</f>
        <v>11.686681841889921</v>
      </c>
      <c r="R12" s="42">
        <f xml:space="preserve"> IF(E12="XX", "XX", 1/Q12)</f>
        <v>8.5567487292721928E-2</v>
      </c>
      <c r="S12" s="37">
        <f>IF(E12="XX", "XX", 0.24*L12+O12*(1061+0.444*L12))</f>
        <v>-5.208754985266129</v>
      </c>
      <c r="T12" s="30">
        <f>IF(E12="XX", "XX", L12+459.7)</f>
        <v>435.11115999999998</v>
      </c>
      <c r="U12" s="44">
        <f>IF(E12="XX", "XX", M12+459.7)</f>
        <v>436.68374</v>
      </c>
      <c r="W12" s="1202">
        <f xml:space="preserve"> IF(E12="XX", "XX", EXP((-10440.397/U12)+(-11.29465) + (-0.027022355*U12) + (0.00001289036*U12*U12) + (-0.0000000024780681*U12^3)+(6.5459673*LN(U12))) )</f>
        <v>7.0326139720262842E-3</v>
      </c>
      <c r="X12" s="21">
        <f>IF(E12="XX", "XX", 0.62198*W12/(J12-W12))</f>
        <v>3.1780930199621759E-4</v>
      </c>
      <c r="Y12" s="23">
        <f xml:space="preserve"> IF(E12="XX", "XX", EXP((-10440.397/T12)+(-11.29465) + (-0.027022355*T12) + (0.00001289036*T12*T12) + (-0.0000000024780681*T12^3)+(6.5459673*LN(T12))) )</f>
        <v>6.4725933895733428E-3</v>
      </c>
      <c r="Z12" s="21">
        <f>IF(E12="XX", "XX", Y12*2.041772658 )</f>
        <v>1.3215564209182394E-2</v>
      </c>
      <c r="AA12" s="21">
        <f>IF(E12="XX", "XX", (H12*O12)/(0.62198+O12))</f>
        <v>2.9779322088317201E-2</v>
      </c>
      <c r="AB12" s="21">
        <f>IF(E12="XX", "XX", LN(AA12*0.4897705))</f>
        <v>-4.2277593809200624</v>
      </c>
      <c r="AC12" s="70">
        <f>IF(E12="XX", "XX", 0.62198*(Y12/(J12-Y12)))</f>
        <v>2.9248963464184965E-4</v>
      </c>
      <c r="AF12" s="1168">
        <f t="shared" ref="AF12:AF13" si="2">B12</f>
        <v>60</v>
      </c>
      <c r="AG12" s="19">
        <f t="shared" si="1"/>
        <v>2</v>
      </c>
      <c r="AH12" s="1188">
        <f t="shared" si="1"/>
        <v>101</v>
      </c>
      <c r="AI12" s="19">
        <f t="shared" si="1"/>
        <v>1789</v>
      </c>
      <c r="AJ12" s="1100">
        <f t="shared" si="1"/>
        <v>545.28719999999998</v>
      </c>
      <c r="AK12" s="1146">
        <f t="shared" ref="AK12:AK13" si="3">IF( (AG12&gt;0),1, 0)</f>
        <v>1</v>
      </c>
      <c r="AL12" s="97">
        <f xml:space="preserve"> IF(D12="XX", "XX", E12- $D$2)</f>
        <v>1289</v>
      </c>
      <c r="AM12" s="75">
        <f xml:space="preserve"> IF(D12="XX", "XX", $AP$5 * R12 * (T12-$T$5)/$T$5 * $AR$5 * ($H$2-AL12))</f>
        <v>0.19453293536270624</v>
      </c>
      <c r="AN12" s="75">
        <f xml:space="preserve"> IF(D12="XX", "XX", $AT$5 * $AP$6^2 * $AT$6 * R12 * K12^2/2)</f>
        <v>3.5492464071783148E-3</v>
      </c>
      <c r="AO12" s="75">
        <f xml:space="preserve"> IF(D12="XX", "XX", AM12 +AN12)</f>
        <v>0.19808218176988457</v>
      </c>
      <c r="AP12" s="75">
        <f xml:space="preserve"> IF(D12="XX", "XX", AO12 +$Z$10)</f>
        <v>0.21308218176988458</v>
      </c>
      <c r="AQ12" s="12">
        <f t="shared" ref="AQ12:AQ13" si="4" xml:space="preserve"> IF(D12="XX", 0, 60 * ($AC$10 * $AN$10 * (2 * ABS(AP12)/R12)^0.5))</f>
        <v>4035.9389319219072</v>
      </c>
      <c r="AR12" s="13" t="str">
        <f>IF(D12="XX", "XX", IF(AP12&lt;0, "Exfl", "Infl"))</f>
        <v>Infl</v>
      </c>
      <c r="AS12" s="12">
        <f xml:space="preserve"> IF(AR12="Infl", -AQ12, AQ12)</f>
        <v>-4035.9389319219072</v>
      </c>
      <c r="AT12" s="98">
        <f>IF(D12="XX", "XX", AS12/$O$10)</f>
        <v>-0.56573381671122669</v>
      </c>
      <c r="AU12" s="12">
        <f>IF(D12="XX", "XX", AS12*1.08*(L12-$L$6))</f>
        <v>434089.23466421705</v>
      </c>
      <c r="AV12" s="1047">
        <f t="shared" ref="AV12:AV13" si="5" xml:space="preserve"> IF(D12="XX", 0, AS12 * 1.08 * $AV$5/1000)</f>
        <v>-34787.694904922238</v>
      </c>
    </row>
    <row r="13" spans="1:48" ht="21" customHeight="1" thickBot="1">
      <c r="B13" s="1176">
        <f>'Input-Output'!BK8</f>
        <v>59</v>
      </c>
      <c r="C13" s="58">
        <f>'Input-Output'!BL8</f>
        <v>1</v>
      </c>
      <c r="D13" s="2300">
        <f>'Input-Output'!BM8</f>
        <v>100</v>
      </c>
      <c r="E13" s="47">
        <f>'Input-Output'!BN8</f>
        <v>1774</v>
      </c>
      <c r="F13" s="59">
        <f>'Input-Output'!BO8</f>
        <v>540.71519999999998</v>
      </c>
      <c r="G13" s="48">
        <f>IF(E13="XX","XX",((101325*(1-2.25577*(10^(-5))*F13)^5.2555)/1000))</f>
        <v>94.996130509782816</v>
      </c>
      <c r="H13" s="48">
        <f xml:space="preserve"> IF(E13="XX", "XX", G13*$AJ$5)</f>
        <v>28.128832490356647</v>
      </c>
      <c r="I13" s="48">
        <f>IF(E13="XX", "XX", G13*$AL$5)</f>
        <v>381.74819871720433</v>
      </c>
      <c r="J13" s="48">
        <f xml:space="preserve"> IF(E13="XX", "XX",G13*$AN$5)</f>
        <v>13.778018453112617</v>
      </c>
      <c r="K13" s="48">
        <f xml:space="preserve"> IF(E13="XX", "XX", ( $K$79 + $U$2 * (E13-$D$2)/$F$2 ) )</f>
        <v>24.598930481283425</v>
      </c>
      <c r="L13" s="60">
        <f xml:space="preserve"> IF(E13="XX", "XX", $L$79 - $AA$2*(E13-$E$79))</f>
        <v>-24.535440000000001</v>
      </c>
      <c r="M13" s="60">
        <f>IF(E13="XX","XX ", $M$79-$AC$2*(E13-$E$79))</f>
        <v>-22.981159999999999</v>
      </c>
      <c r="N13" s="61">
        <f>IF(E13="XX","XX",100.45+33.193*AB13+2.319*AB13^2+0.17074*AB13^3+1.2063*(AA13*0.4897705)^3)</f>
        <v>-11.44507837533201</v>
      </c>
      <c r="O13" s="62">
        <f>IF(E13="XX","XX ",((1093-0.556*M13)*X13-0.24*(L13-M13))/(1093+0.444*L13-M13))</f>
        <v>6.5597481514963771E-4</v>
      </c>
      <c r="P13" s="61">
        <f xml:space="preserve"> IF(E13="XX", "XX", ((O13/AC13)/(1-(1-(O13/AC13))*(Y13/J13)))*100)</f>
        <v>223.63147124798877</v>
      </c>
      <c r="Q13" s="101">
        <f xml:space="preserve"> IF(E13="XX", "XX", 0.7543*(T13*(1+1.6078*O13))/H13)</f>
        <v>11.68163732186717</v>
      </c>
      <c r="R13" s="105">
        <f xml:space="preserve"> IF(E13="XX", "XX", 1/Q13)</f>
        <v>8.5604438183342096E-2</v>
      </c>
      <c r="S13" s="63">
        <f>IF(E13="XX", "XX", 0.24*L13+O13*(1061+0.444*L13))</f>
        <v>-5.1996623371653001</v>
      </c>
      <c r="T13" s="64">
        <f>IF(E13="XX", "XX", L13+459.7)</f>
        <v>435.16455999999999</v>
      </c>
      <c r="U13" s="65">
        <f>IF(E13="XX", "XX", M13+459.7)</f>
        <v>436.71884</v>
      </c>
      <c r="W13" s="1203">
        <f xml:space="preserve"> IF(E13="XX", "XX", EXP((-10440.397/U13)+(-11.29465) + (-0.027022355*U13) + (0.00001289036*U13*U13) + (-0.0000000024780681*U13^3)+(6.5459673*LN(U13))) )</f>
        <v>7.0455984717863549E-3</v>
      </c>
      <c r="X13" s="71">
        <f>IF(E13="XX", "XX", 0.62198*W13/(J13-W13))</f>
        <v>3.1822162339132515E-4</v>
      </c>
      <c r="Y13" s="62">
        <f xml:space="preserve"> IF(E13="XX", "XX", EXP((-10440.397/T13)+(-11.29465) + (-0.027022355*T13) + (0.00001289036*T13*T13) + (-0.0000000024780681*T13^3)+(6.5459673*LN(T13))) )</f>
        <v>6.4909280788975534E-3</v>
      </c>
      <c r="Z13" s="71">
        <f>IF(E13="XX", "XX", Y13*2.041772658 )</f>
        <v>1.3252999476537493E-2</v>
      </c>
      <c r="AA13" s="71">
        <f>IF(E13="XX", "XX", (H13*O13)/(0.62198+O13))</f>
        <v>2.9634981657966134E-2</v>
      </c>
      <c r="AB13" s="71">
        <f>IF(E13="XX", "XX", LN(AA13*0.4897705))</f>
        <v>-4.2326181676166383</v>
      </c>
      <c r="AC13" s="74">
        <f>IF(E13="XX", "XX", 0.62198*(Y13/(J13-Y13)))</f>
        <v>2.9315756289009158E-4</v>
      </c>
      <c r="AF13" s="1169">
        <f t="shared" si="2"/>
        <v>59</v>
      </c>
      <c r="AG13" s="47">
        <f t="shared" si="1"/>
        <v>1</v>
      </c>
      <c r="AH13" s="1189">
        <f t="shared" si="1"/>
        <v>100</v>
      </c>
      <c r="AI13" s="47">
        <f t="shared" si="1"/>
        <v>1774</v>
      </c>
      <c r="AJ13" s="1101">
        <f t="shared" si="1"/>
        <v>540.71519999999998</v>
      </c>
      <c r="AK13" s="1147">
        <f t="shared" si="3"/>
        <v>1</v>
      </c>
      <c r="AL13" s="99">
        <f xml:space="preserve"> IF(D13="XX", "XX", E13- $D$2)</f>
        <v>1274</v>
      </c>
      <c r="AM13" s="1">
        <f xml:space="preserve"> IF(D13="XX", "XX", $AP$5 * R13 * (T13-$T$5)/$T$5 * $AR$5 * ($H$2-AL13))</f>
        <v>0.18991418034820248</v>
      </c>
      <c r="AN13" s="1">
        <f xml:space="preserve"> IF(D13="XX", "XX", $AT$5 * $AP$6^2 * $AT$6 * R13 * K13^2/2)</f>
        <v>3.5016717106140733E-3</v>
      </c>
      <c r="AO13" s="1">
        <f xml:space="preserve"> IF(D13="XX", "XX", AM13 +AN13)</f>
        <v>0.19341585205881656</v>
      </c>
      <c r="AP13" s="1">
        <f xml:space="preserve"> IF(D13="XX", "XX", AO13 +$Z$10)</f>
        <v>0.20841585205881658</v>
      </c>
      <c r="AQ13" s="12">
        <f t="shared" si="4"/>
        <v>3990.6408304996207</v>
      </c>
      <c r="AR13" s="15" t="str">
        <f>IF(D13="XX", "XX", IF(AP13&lt;0, "Exfl", "Infl"))</f>
        <v>Infl</v>
      </c>
      <c r="AS13" s="14">
        <f xml:space="preserve"> IF(AR13="Infl", -AQ13, AQ13)</f>
        <v>-3990.6408304996207</v>
      </c>
      <c r="AT13" s="100">
        <f>IF(D13="XX", "XX", AS13/$O$10)</f>
        <v>-0.5593841993756643</v>
      </c>
      <c r="AU13" s="14">
        <f>IF(D13="XX", "XX", AS13*1.08*(L13-$L$6))</f>
        <v>428987.00622140476</v>
      </c>
      <c r="AV13" s="1047">
        <f t="shared" si="5"/>
        <v>-34397.248825674869</v>
      </c>
    </row>
    <row r="14" spans="1:48" ht="21" customHeight="1">
      <c r="B14" s="1177" t="str">
        <f>'Input-Output'!BK9</f>
        <v>Section &gt;&gt;</v>
      </c>
      <c r="C14" s="1079"/>
      <c r="D14" s="1080" t="str">
        <f>'Input-Output'!BM9</f>
        <v>7-Apt</v>
      </c>
      <c r="E14" s="1079" t="s">
        <v>873</v>
      </c>
      <c r="F14" s="1081">
        <f>'Input-Output'!BO9</f>
        <v>19</v>
      </c>
      <c r="G14" s="1082" t="s">
        <v>867</v>
      </c>
      <c r="H14" s="1083"/>
      <c r="I14" s="1081">
        <f>'Input-Output'!BH44</f>
        <v>170</v>
      </c>
      <c r="J14" s="1083" t="s">
        <v>874</v>
      </c>
      <c r="K14" s="1084">
        <f>'Input-Output'!BH46</f>
        <v>475.59927922569437</v>
      </c>
      <c r="L14" s="1073" t="s">
        <v>885</v>
      </c>
      <c r="M14" s="1085"/>
      <c r="N14" s="1086"/>
      <c r="O14" s="1081">
        <f>'Input-Output'!BH47</f>
        <v>4755.9927922569441</v>
      </c>
      <c r="P14" s="1087" t="s">
        <v>869</v>
      </c>
      <c r="Q14" s="1088"/>
      <c r="R14" s="1081">
        <f>'Input-Output'!BH45</f>
        <v>288000</v>
      </c>
      <c r="S14" s="1087" t="s">
        <v>868</v>
      </c>
      <c r="T14" s="1089"/>
      <c r="U14" s="1090">
        <f>'Input-Output'!BH50</f>
        <v>45</v>
      </c>
      <c r="W14" s="1111" t="s">
        <v>103</v>
      </c>
      <c r="X14" s="1112"/>
      <c r="Y14" s="1112"/>
      <c r="Z14" s="1113">
        <f>'Input-Output'!BH32</f>
        <v>0.01</v>
      </c>
      <c r="AA14" s="35" t="s">
        <v>102</v>
      </c>
      <c r="AB14" s="10"/>
      <c r="AC14" s="1057">
        <f>'Input-Output'!BH31</f>
        <v>0.65</v>
      </c>
      <c r="AF14" s="1166" t="str">
        <f>B14</f>
        <v>Section &gt;&gt;</v>
      </c>
      <c r="AG14" s="1104"/>
      <c r="AH14" s="1105" t="str">
        <f>D14</f>
        <v>7-Apt</v>
      </c>
      <c r="AI14" s="1104" t="str">
        <f>E14</f>
        <v>Flrs/S</v>
      </c>
      <c r="AJ14" s="1106">
        <f>F14</f>
        <v>19</v>
      </c>
      <c r="AK14" s="1207">
        <f>SUM(AK15:AK24)</f>
        <v>9</v>
      </c>
      <c r="AL14" s="1114" t="s">
        <v>112</v>
      </c>
      <c r="AM14" s="1115"/>
      <c r="AN14" s="1116">
        <f>'Input-Output'!BH55</f>
        <v>45.18193152644097</v>
      </c>
      <c r="AO14" s="1114" t="s">
        <v>882</v>
      </c>
      <c r="AP14" s="1117"/>
      <c r="AQ14" s="1118"/>
      <c r="AR14" s="1080">
        <f xml:space="preserve"> (SUM(AQ15:AQ24)/AK14) * AJ14</f>
        <v>68538.016990344127</v>
      </c>
      <c r="AS14" s="1114" t="s">
        <v>884</v>
      </c>
      <c r="AT14" s="1117"/>
      <c r="AU14" s="1118"/>
      <c r="AV14" s="1148">
        <f xml:space="preserve"> (SUM(AV15:AV24)/AK14) * AJ14</f>
        <v>-222063.175048715</v>
      </c>
    </row>
    <row r="15" spans="1:48" ht="21" customHeight="1">
      <c r="B15" s="1168">
        <f>'Input-Output'!BK10</f>
        <v>58</v>
      </c>
      <c r="C15" s="19">
        <f>'Input-Output'!BL10</f>
        <v>0</v>
      </c>
      <c r="D15" s="1188" t="str">
        <f>'Input-Output'!BM10</f>
        <v>XX</v>
      </c>
      <c r="E15" s="19" t="str">
        <f>'Input-Output'!BN10</f>
        <v>XX</v>
      </c>
      <c r="F15" s="19" t="str">
        <f>'Input-Output'!BO10</f>
        <v>XX</v>
      </c>
      <c r="G15" s="20" t="str">
        <f t="shared" ref="G15:G26" si="6">IF(E15="XX","XX",((101325*(1-2.25577*(10^(-5))*F15)^5.2555)/1000))</f>
        <v>XX</v>
      </c>
      <c r="H15" s="20" t="str">
        <f t="shared" ref="H15:H26" si="7" xml:space="preserve"> IF(E15="XX", "XX", G15*$AJ$5)</f>
        <v>XX</v>
      </c>
      <c r="I15" s="20" t="str">
        <f t="shared" ref="I15:I26" si="8">IF(E15="XX", "XX", G15*$AL$5)</f>
        <v>XX</v>
      </c>
      <c r="J15" s="20" t="str">
        <f t="shared" ref="J15:J26" si="9" xml:space="preserve"> IF(E15="XX", "XX",G15*$AN$5)</f>
        <v>XX</v>
      </c>
      <c r="K15" s="20" t="str">
        <f t="shared" ref="K15:K26" si="10" xml:space="preserve"> IF(E15="XX", "XX", ( $K$79 + $U$2 * (E15-$D$2)/$F$2 ) )</f>
        <v>XX</v>
      </c>
      <c r="L15" s="27" t="str">
        <f t="shared" ref="L15:L26" si="11" xml:space="preserve"> IF(E15="XX", "XX", $L$79 - $AA$2*(E15-$E$79))</f>
        <v>XX</v>
      </c>
      <c r="M15" s="17" t="str">
        <f t="shared" ref="M15:M26" si="12">IF(E15="XX","XX ", $M$79-$AC$2*(E15-$E$79))</f>
        <v xml:space="preserve">XX </v>
      </c>
      <c r="N15" s="22" t="str">
        <f t="shared" ref="N15:N26" si="13">IF(E15="XX","XX",100.45+33.193*AB15+2.319*AB15^2+0.17074*AB15^3+1.2063*(AA15*0.4897705)^3)</f>
        <v>XX</v>
      </c>
      <c r="O15" s="23" t="str">
        <f t="shared" ref="O15:O26" si="14">IF(E15="XX","XX ",((1093-0.556*M15)*X15-0.24*(L15-M15))/(1093+0.444*L15-M15))</f>
        <v xml:space="preserve">XX </v>
      </c>
      <c r="P15" s="22" t="str">
        <f t="shared" ref="P15:P26" si="15" xml:space="preserve"> IF(E15="XX", "XX", ((O15/AC15)/(1-(1-(O15/AC15))*(Y15/J15)))*100)</f>
        <v>XX</v>
      </c>
      <c r="Q15" s="102" t="str">
        <f t="shared" ref="Q15:Q26" si="16" xml:space="preserve"> IF(E15="XX", "XX", 0.7543*(T15*(1+1.6078*O15))/H15)</f>
        <v>XX</v>
      </c>
      <c r="R15" s="106" t="str">
        <f t="shared" ref="R15:R26" si="17" xml:space="preserve"> IF(E15="XX", "XX", 1/Q15)</f>
        <v>XX</v>
      </c>
      <c r="S15" s="32" t="str">
        <f t="shared" ref="S15:S26" si="18">IF(E15="XX", "XX", 0.24*L15+O15*(1061+0.444*L15))</f>
        <v>XX</v>
      </c>
      <c r="T15" s="24" t="str">
        <f t="shared" ref="T15:T26" si="19">IF(E15="XX", "XX", L15+459.7)</f>
        <v>XX</v>
      </c>
      <c r="U15" s="66" t="str">
        <f t="shared" ref="U15:U26" si="20">IF(E15="XX", "XX", M15+459.7)</f>
        <v>XX</v>
      </c>
      <c r="W15" s="1202" t="str">
        <f t="shared" ref="W15:W26" si="21" xml:space="preserve"> IF(E15="XX", "XX", EXP((-10440.397/U15)+(-11.29465) + (-0.027022355*U15) + (0.00001289036*U15*U15) + (-0.0000000024780681*U15^3)+(6.5459673*LN(U15))) )</f>
        <v>XX</v>
      </c>
      <c r="X15" s="21" t="str">
        <f t="shared" ref="X15:X26" si="22">IF(E15="XX", "XX", 0.62198*W15/(J15-W15))</f>
        <v>XX</v>
      </c>
      <c r="Y15" s="23" t="str">
        <f t="shared" ref="Y15:Y26" si="23" xml:space="preserve"> IF(E15="XX", "XX", EXP((-10440.397/T15)+(-11.29465) + (-0.027022355*T15) + (0.00001289036*T15*T15) + (-0.0000000024780681*T15^3)+(6.5459673*LN(T15))) )</f>
        <v>XX</v>
      </c>
      <c r="Z15" s="21" t="str">
        <f t="shared" ref="Z15:Z26" si="24">IF(E15="XX", "XX", Y15*2.041772658 )</f>
        <v>XX</v>
      </c>
      <c r="AA15" s="21" t="str">
        <f t="shared" ref="AA15:AA26" si="25">IF(E15="XX", "XX", (H15*O15)/(0.62198+O15))</f>
        <v>XX</v>
      </c>
      <c r="AB15" s="21" t="str">
        <f t="shared" ref="AB15:AB26" si="26">IF(E15="XX", "XX", LN(AA15*0.4897705))</f>
        <v>XX</v>
      </c>
      <c r="AC15" s="70" t="str">
        <f t="shared" ref="AC15:AC26" si="27">IF(E15="XX", "XX", 0.62198*(Y15/(J15-Y15)))</f>
        <v>XX</v>
      </c>
      <c r="AF15" s="1168">
        <f t="shared" ref="AF15:AJ26" si="28">B15</f>
        <v>58</v>
      </c>
      <c r="AG15" s="19">
        <f t="shared" si="28"/>
        <v>0</v>
      </c>
      <c r="AH15" s="1188" t="str">
        <f t="shared" si="28"/>
        <v>XX</v>
      </c>
      <c r="AI15" s="19" t="str">
        <f t="shared" si="28"/>
        <v>XX</v>
      </c>
      <c r="AJ15" s="1100" t="str">
        <f t="shared" si="28"/>
        <v>XX</v>
      </c>
      <c r="AK15" s="1146">
        <f t="shared" ref="AK15:AK26" si="29">IF( (AG15&gt;0),1, 0)</f>
        <v>0</v>
      </c>
      <c r="AL15" s="97" t="str">
        <f t="shared" ref="AL15:AL26" si="30" xml:space="preserve"> IF(D15="XX", "XX", E15- $D$2)</f>
        <v>XX</v>
      </c>
      <c r="AM15" s="75" t="str">
        <f t="shared" ref="AM15:AM26" si="31" xml:space="preserve"> IF(D15="XX", "XX", $AP$5 * R15 * (T15-$T$5)/$T$5 * $AR$5 * ($H$2-AL15))</f>
        <v>XX</v>
      </c>
      <c r="AN15" s="75" t="str">
        <f t="shared" ref="AN15:AN26" si="32" xml:space="preserve"> IF(D15="XX", "XX", $AT$5 * $AP$6^2 * $AT$6 * R15 * K15^2/2)</f>
        <v>XX</v>
      </c>
      <c r="AO15" s="75" t="str">
        <f t="shared" ref="AO15:AO26" si="33" xml:space="preserve"> IF(D15="XX", "XX", AM15 +AN15)</f>
        <v>XX</v>
      </c>
      <c r="AP15" s="75" t="str">
        <f xml:space="preserve"> IF(D15="XX", "XX", AO15 +$Z$14)</f>
        <v>XX</v>
      </c>
      <c r="AQ15" s="12">
        <f xml:space="preserve"> IF(D15="XX", 0, 60 * ($AC$14 * $AN$14 * (2 * ABS(AP15)/R15)^0.5))</f>
        <v>0</v>
      </c>
      <c r="AR15" s="13" t="str">
        <f t="shared" ref="AR15:AR26" si="34">IF(D15="XX", "XX", IF(AP15&lt;0, "Exfl", "Infl"))</f>
        <v>XX</v>
      </c>
      <c r="AS15" s="12">
        <f t="shared" ref="AS15:AS26" si="35" xml:space="preserve"> IF(AR15="Infl", -AQ15, AQ15)</f>
        <v>0</v>
      </c>
      <c r="AT15" s="98" t="str">
        <f>IF(D15="XX", "XX", AS15/$O$14)</f>
        <v>XX</v>
      </c>
      <c r="AU15" s="12" t="str">
        <f t="shared" ref="AU15:AU26" si="36">IF(D15="XX", "XX", AS15*1.08*(L15-$L$6))</f>
        <v>XX</v>
      </c>
      <c r="AV15" s="1047">
        <f t="shared" ref="AV15:AV26" si="37" xml:space="preserve"> IF(D15="XX", 0, AS15 * 1.08 * 3000/1000)</f>
        <v>0</v>
      </c>
    </row>
    <row r="16" spans="1:48" ht="21" customHeight="1">
      <c r="B16" s="1168">
        <f>'Input-Output'!BK11</f>
        <v>57</v>
      </c>
      <c r="C16" s="19">
        <f>'Input-Output'!BL11</f>
        <v>19</v>
      </c>
      <c r="D16" s="1188">
        <f>'Input-Output'!BM11</f>
        <v>102</v>
      </c>
      <c r="E16" s="19">
        <f>'Input-Output'!BN11</f>
        <v>1779</v>
      </c>
      <c r="F16" s="19">
        <f>'Input-Output'!BO11</f>
        <v>542.23919999999998</v>
      </c>
      <c r="G16" s="20">
        <f t="shared" si="6"/>
        <v>94.978756607807099</v>
      </c>
      <c r="H16" s="20">
        <f t="shared" si="7"/>
        <v>28.123687990514853</v>
      </c>
      <c r="I16" s="20">
        <f t="shared" si="8"/>
        <v>381.67838054936607</v>
      </c>
      <c r="J16" s="20">
        <f t="shared" si="9"/>
        <v>13.775498582663795</v>
      </c>
      <c r="K16" s="20">
        <f t="shared" si="10"/>
        <v>24.65622612681436</v>
      </c>
      <c r="L16" s="27">
        <f t="shared" si="11"/>
        <v>-24.553239999999999</v>
      </c>
      <c r="M16" s="17">
        <f t="shared" si="12"/>
        <v>-22.99286</v>
      </c>
      <c r="N16" s="22">
        <f t="shared" si="13"/>
        <v>-11.408177839852414</v>
      </c>
      <c r="O16" s="23">
        <f t="shared" si="14"/>
        <v>6.571616355987612E-4</v>
      </c>
      <c r="P16" s="22">
        <f t="shared" si="15"/>
        <v>224.20595690550132</v>
      </c>
      <c r="Q16" s="102">
        <f t="shared" si="16"/>
        <v>11.683318531017996</v>
      </c>
      <c r="R16" s="106">
        <f t="shared" si="17"/>
        <v>8.5592119854055501E-2</v>
      </c>
      <c r="S16" s="32">
        <f t="shared" si="18"/>
        <v>-5.2026932432565101</v>
      </c>
      <c r="T16" s="24">
        <f t="shared" si="19"/>
        <v>435.14675999999997</v>
      </c>
      <c r="U16" s="66">
        <f t="shared" si="20"/>
        <v>436.70713999999998</v>
      </c>
      <c r="W16" s="1202">
        <f t="shared" si="21"/>
        <v>7.0412678998038837E-3</v>
      </c>
      <c r="X16" s="21">
        <f t="shared" si="22"/>
        <v>3.180841330439997E-4</v>
      </c>
      <c r="Y16" s="23">
        <f t="shared" si="23"/>
        <v>6.484811304435293E-3</v>
      </c>
      <c r="Z16" s="21">
        <f t="shared" si="24"/>
        <v>1.3240510413685297E-2</v>
      </c>
      <c r="AA16" s="21">
        <f t="shared" si="25"/>
        <v>2.9683112312741365E-2</v>
      </c>
      <c r="AB16" s="21">
        <f t="shared" si="26"/>
        <v>-4.2309953688341428</v>
      </c>
      <c r="AC16" s="70">
        <f t="shared" si="27"/>
        <v>2.9293477384142812E-4</v>
      </c>
      <c r="AF16" s="1168">
        <f t="shared" si="28"/>
        <v>57</v>
      </c>
      <c r="AG16" s="19">
        <f t="shared" si="28"/>
        <v>19</v>
      </c>
      <c r="AH16" s="1188">
        <f t="shared" si="28"/>
        <v>102</v>
      </c>
      <c r="AI16" s="19">
        <f t="shared" si="28"/>
        <v>1779</v>
      </c>
      <c r="AJ16" s="1100">
        <f t="shared" si="28"/>
        <v>542.23919999999998</v>
      </c>
      <c r="AK16" s="1146">
        <f t="shared" si="29"/>
        <v>1</v>
      </c>
      <c r="AL16" s="97">
        <f t="shared" si="30"/>
        <v>1279</v>
      </c>
      <c r="AM16" s="75">
        <f t="shared" si="31"/>
        <v>0.19145366524864776</v>
      </c>
      <c r="AN16" s="75">
        <f t="shared" si="32"/>
        <v>3.5174966084932707E-3</v>
      </c>
      <c r="AO16" s="75">
        <f t="shared" si="33"/>
        <v>0.19497116185714103</v>
      </c>
      <c r="AP16" s="75">
        <f xml:space="preserve"> IF(D16="XX", "XX", AO16 +$Z$14)</f>
        <v>0.20497116185714104</v>
      </c>
      <c r="AQ16" s="12">
        <f t="shared" ref="AQ16:AQ26" si="38" xml:space="preserve"> IF(D16="XX", 0, 60 * ($AC$14 * $AN$14 * (2 * ABS(AP16)/R16)^0.5))</f>
        <v>3856.3273101306586</v>
      </c>
      <c r="AR16" s="13" t="str">
        <f t="shared" si="34"/>
        <v>Infl</v>
      </c>
      <c r="AS16" s="12">
        <f t="shared" si="35"/>
        <v>-3856.3273101306586</v>
      </c>
      <c r="AT16" s="98">
        <f t="shared" ref="AT16:AT26" si="39">IF(D16="XX", "XX", AS16/$O$14)</f>
        <v>-0.81083539832293317</v>
      </c>
      <c r="AU16" s="12">
        <f t="shared" si="36"/>
        <v>414622.6684819113</v>
      </c>
      <c r="AV16" s="1047">
        <f t="shared" si="37"/>
        <v>-12494.500484823335</v>
      </c>
    </row>
    <row r="17" spans="2:48" ht="21" customHeight="1">
      <c r="B17" s="1168">
        <f>'Input-Output'!BK12</f>
        <v>56</v>
      </c>
      <c r="C17" s="19">
        <f>'Input-Output'!BL12</f>
        <v>17</v>
      </c>
      <c r="D17" s="1188">
        <f>'Input-Output'!BM12</f>
        <v>100</v>
      </c>
      <c r="E17" s="19">
        <f>'Input-Output'!BN12</f>
        <v>1759</v>
      </c>
      <c r="F17" s="19">
        <f>'Input-Output'!BO12</f>
        <v>536.14319999999998</v>
      </c>
      <c r="G17" s="20">
        <f t="shared" si="6"/>
        <v>95.048267656650467</v>
      </c>
      <c r="H17" s="20">
        <f t="shared" si="7"/>
        <v>28.144270562022253</v>
      </c>
      <c r="I17" s="20">
        <f t="shared" si="8"/>
        <v>381.9577152711542</v>
      </c>
      <c r="J17" s="20">
        <f t="shared" si="9"/>
        <v>13.78558030397728</v>
      </c>
      <c r="K17" s="20">
        <f t="shared" si="10"/>
        <v>24.427043544690605</v>
      </c>
      <c r="L17" s="27">
        <f t="shared" si="11"/>
        <v>-24.482039999999998</v>
      </c>
      <c r="M17" s="17">
        <f t="shared" si="12"/>
        <v>-22.946059999999999</v>
      </c>
      <c r="N17" s="22">
        <f t="shared" si="13"/>
        <v>-11.55621535040919</v>
      </c>
      <c r="O17" s="23">
        <f t="shared" si="14"/>
        <v>6.5241459480643276E-4</v>
      </c>
      <c r="P17" s="22">
        <f t="shared" si="15"/>
        <v>221.91264898644113</v>
      </c>
      <c r="Q17" s="102">
        <f t="shared" si="16"/>
        <v>11.676595478809958</v>
      </c>
      <c r="R17" s="106">
        <f t="shared" si="17"/>
        <v>8.5641401366926245E-2</v>
      </c>
      <c r="S17" s="32">
        <f t="shared" si="18"/>
        <v>-5.1905694783621206</v>
      </c>
      <c r="T17" s="24">
        <f t="shared" si="19"/>
        <v>435.21796000000001</v>
      </c>
      <c r="U17" s="66">
        <f t="shared" si="20"/>
        <v>436.75394</v>
      </c>
      <c r="W17" s="1202">
        <f t="shared" si="21"/>
        <v>7.0586046343362584E-3</v>
      </c>
      <c r="X17" s="21">
        <f t="shared" si="22"/>
        <v>3.186343938968305E-4</v>
      </c>
      <c r="Y17" s="23">
        <f t="shared" si="23"/>
        <v>6.5093097177472163E-3</v>
      </c>
      <c r="Z17" s="21">
        <f t="shared" si="24"/>
        <v>1.3290530604149964E-2</v>
      </c>
      <c r="AA17" s="21">
        <f t="shared" si="25"/>
        <v>2.9490486592789612E-2</v>
      </c>
      <c r="AB17" s="21">
        <f t="shared" si="26"/>
        <v>-4.2375059209695856</v>
      </c>
      <c r="AC17" s="70">
        <f t="shared" si="27"/>
        <v>2.9382680878348887E-4</v>
      </c>
      <c r="AF17" s="1168">
        <f t="shared" si="28"/>
        <v>56</v>
      </c>
      <c r="AG17" s="19">
        <f t="shared" si="28"/>
        <v>17</v>
      </c>
      <c r="AH17" s="1188">
        <f t="shared" si="28"/>
        <v>100</v>
      </c>
      <c r="AI17" s="19">
        <f t="shared" si="28"/>
        <v>1759</v>
      </c>
      <c r="AJ17" s="1100">
        <f t="shared" si="28"/>
        <v>536.14319999999998</v>
      </c>
      <c r="AK17" s="1146">
        <f t="shared" si="29"/>
        <v>1</v>
      </c>
      <c r="AL17" s="97">
        <f t="shared" si="30"/>
        <v>1259</v>
      </c>
      <c r="AM17" s="75">
        <f t="shared" si="31"/>
        <v>0.18529632821601336</v>
      </c>
      <c r="AN17" s="75">
        <f t="shared" si="32"/>
        <v>3.4543972103333962E-3</v>
      </c>
      <c r="AO17" s="75">
        <f t="shared" si="33"/>
        <v>0.18875072542634674</v>
      </c>
      <c r="AP17" s="75">
        <f t="shared" ref="AP17:AP26" si="40" xml:space="preserve"> IF(D17="XX", "XX", AO17 +$Z$14)</f>
        <v>0.19875072542634675</v>
      </c>
      <c r="AQ17" s="12">
        <f t="shared" si="38"/>
        <v>3796.2681088734412</v>
      </c>
      <c r="AR17" s="13" t="str">
        <f t="shared" si="34"/>
        <v>Infl</v>
      </c>
      <c r="AS17" s="12">
        <f t="shared" si="35"/>
        <v>-3796.2681088734412</v>
      </c>
      <c r="AT17" s="98">
        <f t="shared" si="39"/>
        <v>-0.79820728808798969</v>
      </c>
      <c r="AU17" s="12">
        <f t="shared" si="36"/>
        <v>407873.33552628581</v>
      </c>
      <c r="AV17" s="1047">
        <f t="shared" si="37"/>
        <v>-12299.908672749949</v>
      </c>
    </row>
    <row r="18" spans="2:48" ht="21" customHeight="1">
      <c r="B18" s="1168">
        <f>'Input-Output'!BK13</f>
        <v>55</v>
      </c>
      <c r="C18" s="19">
        <f>'Input-Output'!BL13</f>
        <v>15</v>
      </c>
      <c r="D18" s="1188">
        <f>'Input-Output'!BM13</f>
        <v>98</v>
      </c>
      <c r="E18" s="19">
        <f>'Input-Output'!BN13</f>
        <v>1739</v>
      </c>
      <c r="F18" s="19">
        <f>'Input-Output'!BO13</f>
        <v>530.04719999999998</v>
      </c>
      <c r="G18" s="20">
        <f t="shared" si="6"/>
        <v>95.117819892221476</v>
      </c>
      <c r="H18" s="20">
        <f t="shared" si="7"/>
        <v>28.164865329127061</v>
      </c>
      <c r="I18" s="20">
        <f t="shared" si="8"/>
        <v>382.23721550451637</v>
      </c>
      <c r="J18" s="20">
        <f t="shared" si="9"/>
        <v>13.795667998918223</v>
      </c>
      <c r="K18" s="20">
        <f t="shared" si="10"/>
        <v>24.197860962566843</v>
      </c>
      <c r="L18" s="27">
        <f t="shared" si="11"/>
        <v>-24.41084</v>
      </c>
      <c r="M18" s="17">
        <f t="shared" si="12"/>
        <v>-22.899259999999998</v>
      </c>
      <c r="N18" s="22">
        <f t="shared" si="13"/>
        <v>-11.705423706506902</v>
      </c>
      <c r="O18" s="23">
        <f t="shared" si="14"/>
        <v>6.4766819720318478E-4</v>
      </c>
      <c r="P18" s="22">
        <f t="shared" si="15"/>
        <v>219.63166459558386</v>
      </c>
      <c r="Q18" s="102">
        <f t="shared" si="16"/>
        <v>11.669877182672199</v>
      </c>
      <c r="R18" s="106">
        <f t="shared" si="17"/>
        <v>8.5690704738935169E-2</v>
      </c>
      <c r="S18" s="32">
        <f t="shared" si="18"/>
        <v>-5.1784453381497677</v>
      </c>
      <c r="T18" s="24">
        <f t="shared" si="19"/>
        <v>435.28915999999998</v>
      </c>
      <c r="U18" s="66">
        <f t="shared" si="20"/>
        <v>436.80074000000002</v>
      </c>
      <c r="W18" s="1202">
        <f t="shared" si="21"/>
        <v>7.0759799374519664E-3</v>
      </c>
      <c r="X18" s="21">
        <f t="shared" si="22"/>
        <v>3.1918545384749858E-4</v>
      </c>
      <c r="Y18" s="23">
        <f t="shared" si="23"/>
        <v>6.5338917864753501E-3</v>
      </c>
      <c r="Z18" s="21">
        <f t="shared" si="24"/>
        <v>1.3340721599956145E-2</v>
      </c>
      <c r="AA18" s="21">
        <f t="shared" si="25"/>
        <v>2.9297585834891986E-2</v>
      </c>
      <c r="AB18" s="21">
        <f t="shared" si="26"/>
        <v>-4.24406852600998</v>
      </c>
      <c r="AC18" s="70">
        <f t="shared" si="27"/>
        <v>2.9472119001656971E-4</v>
      </c>
      <c r="AF18" s="1168">
        <f t="shared" si="28"/>
        <v>55</v>
      </c>
      <c r="AG18" s="19">
        <f t="shared" si="28"/>
        <v>15</v>
      </c>
      <c r="AH18" s="1188">
        <f t="shared" si="28"/>
        <v>98</v>
      </c>
      <c r="AI18" s="19">
        <f t="shared" si="28"/>
        <v>1739</v>
      </c>
      <c r="AJ18" s="1100">
        <f t="shared" si="28"/>
        <v>530.04719999999998</v>
      </c>
      <c r="AK18" s="1146">
        <f t="shared" si="29"/>
        <v>1</v>
      </c>
      <c r="AL18" s="97">
        <f t="shared" si="30"/>
        <v>1239</v>
      </c>
      <c r="AM18" s="75">
        <f t="shared" si="31"/>
        <v>0.17914060408292498</v>
      </c>
      <c r="AN18" s="75">
        <f t="shared" si="32"/>
        <v>3.3918322448020471E-3</v>
      </c>
      <c r="AO18" s="75">
        <f t="shared" si="33"/>
        <v>0.18253243632772703</v>
      </c>
      <c r="AP18" s="75">
        <f t="shared" si="40"/>
        <v>0.19253243632772704</v>
      </c>
      <c r="AQ18" s="12">
        <f t="shared" si="38"/>
        <v>3735.3344553670795</v>
      </c>
      <c r="AR18" s="13" t="str">
        <f t="shared" si="34"/>
        <v>Infl</v>
      </c>
      <c r="AS18" s="12">
        <f t="shared" si="35"/>
        <v>-3735.3344553670795</v>
      </c>
      <c r="AT18" s="98">
        <f t="shared" si="39"/>
        <v>-0.78539531461200685</v>
      </c>
      <c r="AU18" s="12">
        <f t="shared" si="36"/>
        <v>401039.35476010264</v>
      </c>
      <c r="AV18" s="1047">
        <f t="shared" si="37"/>
        <v>-12102.483635389337</v>
      </c>
    </row>
    <row r="19" spans="2:48" ht="21" customHeight="1">
      <c r="B19" s="1168">
        <f>'Input-Output'!BK14</f>
        <v>54</v>
      </c>
      <c r="C19" s="19">
        <f>'Input-Output'!BL14</f>
        <v>13</v>
      </c>
      <c r="D19" s="1188">
        <f>'Input-Output'!BM14</f>
        <v>96</v>
      </c>
      <c r="E19" s="19">
        <f>'Input-Output'!BN14</f>
        <v>1719</v>
      </c>
      <c r="F19" s="19">
        <f>'Input-Output'!BO14</f>
        <v>523.95119999999997</v>
      </c>
      <c r="G19" s="20">
        <f t="shared" si="6"/>
        <v>95.18741333318691</v>
      </c>
      <c r="H19" s="20">
        <f t="shared" si="7"/>
        <v>28.185472297356597</v>
      </c>
      <c r="I19" s="20">
        <f t="shared" si="8"/>
        <v>382.51688132446628</v>
      </c>
      <c r="J19" s="20">
        <f t="shared" si="9"/>
        <v>13.805761670194007</v>
      </c>
      <c r="K19" s="20">
        <f t="shared" si="10"/>
        <v>23.968678380443087</v>
      </c>
      <c r="L19" s="27">
        <f t="shared" si="11"/>
        <v>-24.339639999999999</v>
      </c>
      <c r="M19" s="17">
        <f t="shared" si="12"/>
        <v>-22.852460000000001</v>
      </c>
      <c r="N19" s="22">
        <f t="shared" si="13"/>
        <v>-11.855820073396218</v>
      </c>
      <c r="O19" s="23">
        <f t="shared" si="14"/>
        <v>6.4292244366600604E-4</v>
      </c>
      <c r="P19" s="22">
        <f t="shared" si="15"/>
        <v>217.36294274068956</v>
      </c>
      <c r="Q19" s="102">
        <f t="shared" si="16"/>
        <v>11.663163638635083</v>
      </c>
      <c r="R19" s="106">
        <f t="shared" si="17"/>
        <v>8.5740029976723198E-2</v>
      </c>
      <c r="S19" s="32">
        <f t="shared" si="18"/>
        <v>-5.166320821637445</v>
      </c>
      <c r="T19" s="24">
        <f t="shared" si="19"/>
        <v>435.36036000000001</v>
      </c>
      <c r="U19" s="66">
        <f t="shared" si="20"/>
        <v>436.84753999999998</v>
      </c>
      <c r="W19" s="1202">
        <f t="shared" si="21"/>
        <v>7.0933938852007208E-3</v>
      </c>
      <c r="X19" s="21">
        <f t="shared" si="22"/>
        <v>3.1973731380238355E-4</v>
      </c>
      <c r="Y19" s="23">
        <f t="shared" si="23"/>
        <v>6.5585577639557264E-3</v>
      </c>
      <c r="Z19" s="21">
        <f t="shared" si="24"/>
        <v>1.3391083918358422E-2</v>
      </c>
      <c r="AA19" s="21">
        <f t="shared" si="25"/>
        <v>2.9104409863638759E-2</v>
      </c>
      <c r="AB19" s="21">
        <f t="shared" si="26"/>
        <v>-4.2506839395228253</v>
      </c>
      <c r="AC19" s="70">
        <f t="shared" si="27"/>
        <v>2.9561792262849121E-4</v>
      </c>
      <c r="AF19" s="1168">
        <f t="shared" si="28"/>
        <v>54</v>
      </c>
      <c r="AG19" s="19">
        <f t="shared" si="28"/>
        <v>13</v>
      </c>
      <c r="AH19" s="1188">
        <f t="shared" si="28"/>
        <v>96</v>
      </c>
      <c r="AI19" s="19">
        <f t="shared" si="28"/>
        <v>1719</v>
      </c>
      <c r="AJ19" s="1100">
        <f t="shared" si="28"/>
        <v>523.95119999999997</v>
      </c>
      <c r="AK19" s="1146">
        <f t="shared" si="29"/>
        <v>1</v>
      </c>
      <c r="AL19" s="97">
        <f t="shared" si="30"/>
        <v>1219</v>
      </c>
      <c r="AM19" s="75">
        <f t="shared" si="31"/>
        <v>0.17298650322612738</v>
      </c>
      <c r="AN19" s="75">
        <f t="shared" si="32"/>
        <v>3.3298027131145541E-3</v>
      </c>
      <c r="AO19" s="75">
        <f t="shared" si="33"/>
        <v>0.17631630593924194</v>
      </c>
      <c r="AP19" s="75">
        <f t="shared" si="40"/>
        <v>0.18631630593924195</v>
      </c>
      <c r="AQ19" s="12">
        <f t="shared" si="38"/>
        <v>3673.4828350792482</v>
      </c>
      <c r="AR19" s="13" t="str">
        <f t="shared" si="34"/>
        <v>Infl</v>
      </c>
      <c r="AS19" s="12">
        <f t="shared" si="35"/>
        <v>-3673.4828350792482</v>
      </c>
      <c r="AT19" s="98">
        <f t="shared" si="39"/>
        <v>-0.77239032848407796</v>
      </c>
      <c r="AU19" s="12">
        <f t="shared" si="36"/>
        <v>394116.25937358808</v>
      </c>
      <c r="AV19" s="1047">
        <f t="shared" si="37"/>
        <v>-11902.084385656764</v>
      </c>
    </row>
    <row r="20" spans="2:48" ht="21" customHeight="1">
      <c r="B20" s="1168">
        <f>'Input-Output'!BK15</f>
        <v>53</v>
      </c>
      <c r="C20" s="19">
        <f>'Input-Output'!BL15</f>
        <v>11</v>
      </c>
      <c r="D20" s="1188">
        <f>'Input-Output'!BM15</f>
        <v>94</v>
      </c>
      <c r="E20" s="19">
        <f>'Input-Output'!BN15</f>
        <v>1699</v>
      </c>
      <c r="F20" s="19">
        <f>'Input-Output'!BO15</f>
        <v>517.85520000000008</v>
      </c>
      <c r="G20" s="20">
        <f t="shared" si="6"/>
        <v>95.257047998219221</v>
      </c>
      <c r="H20" s="20">
        <f t="shared" si="7"/>
        <v>28.206091472239876</v>
      </c>
      <c r="I20" s="20">
        <f t="shared" si="8"/>
        <v>382.79671280604038</v>
      </c>
      <c r="J20" s="20">
        <f t="shared" si="9"/>
        <v>13.815861320512846</v>
      </c>
      <c r="K20" s="20">
        <f t="shared" si="10"/>
        <v>23.739495798319325</v>
      </c>
      <c r="L20" s="27">
        <f t="shared" si="11"/>
        <v>-24.268439999999998</v>
      </c>
      <c r="M20" s="17">
        <f t="shared" si="12"/>
        <v>-22.80566</v>
      </c>
      <c r="N20" s="22">
        <f t="shared" si="13"/>
        <v>-12.007422000142556</v>
      </c>
      <c r="O20" s="23">
        <f t="shared" si="14"/>
        <v>6.3817733507250585E-4</v>
      </c>
      <c r="P20" s="22">
        <f t="shared" si="15"/>
        <v>215.10642273323444</v>
      </c>
      <c r="Q20" s="102">
        <f t="shared" si="16"/>
        <v>11.656454842732831</v>
      </c>
      <c r="R20" s="106">
        <f t="shared" si="17"/>
        <v>8.5789377086931878E-2</v>
      </c>
      <c r="S20" s="32">
        <f t="shared" si="18"/>
        <v>-5.154195927842383</v>
      </c>
      <c r="T20" s="24">
        <f t="shared" si="19"/>
        <v>435.43155999999999</v>
      </c>
      <c r="U20" s="66">
        <f t="shared" si="20"/>
        <v>436.89434</v>
      </c>
      <c r="W20" s="1202">
        <f t="shared" si="21"/>
        <v>7.1108465537609673E-3</v>
      </c>
      <c r="X20" s="21">
        <f t="shared" si="22"/>
        <v>3.2028997466851833E-4</v>
      </c>
      <c r="Y20" s="23">
        <f t="shared" si="23"/>
        <v>6.583307904185225E-3</v>
      </c>
      <c r="Z20" s="21">
        <f t="shared" si="24"/>
        <v>1.3441618077960677E-2</v>
      </c>
      <c r="AA20" s="21">
        <f t="shared" si="25"/>
        <v>2.891095850367072E-2</v>
      </c>
      <c r="AB20" s="21">
        <f t="shared" si="26"/>
        <v>-4.2573529337013882</v>
      </c>
      <c r="AC20" s="70">
        <f t="shared" si="27"/>
        <v>2.9651701171534413E-4</v>
      </c>
      <c r="AF20" s="1168">
        <f t="shared" si="28"/>
        <v>53</v>
      </c>
      <c r="AG20" s="19">
        <f t="shared" si="28"/>
        <v>11</v>
      </c>
      <c r="AH20" s="1188">
        <f t="shared" si="28"/>
        <v>94</v>
      </c>
      <c r="AI20" s="19">
        <f t="shared" si="28"/>
        <v>1699</v>
      </c>
      <c r="AJ20" s="1100">
        <f t="shared" si="28"/>
        <v>517.85520000000008</v>
      </c>
      <c r="AK20" s="1146">
        <f t="shared" si="29"/>
        <v>1</v>
      </c>
      <c r="AL20" s="97">
        <f t="shared" si="30"/>
        <v>1199</v>
      </c>
      <c r="AM20" s="75">
        <f t="shared" si="31"/>
        <v>0.1668340360338699</v>
      </c>
      <c r="AN20" s="75">
        <f t="shared" si="32"/>
        <v>3.2683096173980047E-3</v>
      </c>
      <c r="AO20" s="75">
        <f t="shared" si="33"/>
        <v>0.17010234565126792</v>
      </c>
      <c r="AP20" s="75">
        <f t="shared" si="40"/>
        <v>0.18010234565126793</v>
      </c>
      <c r="AQ20" s="12">
        <f t="shared" si="38"/>
        <v>3610.6660732767082</v>
      </c>
      <c r="AR20" s="13" t="str">
        <f t="shared" si="34"/>
        <v>Infl</v>
      </c>
      <c r="AS20" s="12">
        <f t="shared" si="35"/>
        <v>-3610.6660732767082</v>
      </c>
      <c r="AT20" s="98">
        <f t="shared" si="39"/>
        <v>-0.75918241069563852</v>
      </c>
      <c r="AU20" s="12">
        <f t="shared" si="36"/>
        <v>387099.20353151287</v>
      </c>
      <c r="AV20" s="1047">
        <f t="shared" si="37"/>
        <v>-11698.558077416536</v>
      </c>
    </row>
    <row r="21" spans="2:48" ht="21" customHeight="1">
      <c r="B21" s="1168">
        <f>'Input-Output'!BK16</f>
        <v>52</v>
      </c>
      <c r="C21" s="19">
        <f>'Input-Output'!BL16</f>
        <v>9</v>
      </c>
      <c r="D21" s="1188">
        <f>'Input-Output'!BM16</f>
        <v>92</v>
      </c>
      <c r="E21" s="19">
        <f>'Input-Output'!BN16</f>
        <v>1679</v>
      </c>
      <c r="F21" s="19">
        <f>'Input-Output'!BO16</f>
        <v>511.75920000000002</v>
      </c>
      <c r="G21" s="20">
        <f t="shared" si="6"/>
        <v>95.326723905996872</v>
      </c>
      <c r="H21" s="20">
        <f t="shared" si="7"/>
        <v>28.226722859307682</v>
      </c>
      <c r="I21" s="20">
        <f t="shared" si="8"/>
        <v>383.07671002429936</v>
      </c>
      <c r="J21" s="20">
        <f t="shared" si="9"/>
        <v>13.825966952583817</v>
      </c>
      <c r="K21" s="20">
        <f t="shared" si="10"/>
        <v>23.51031321619557</v>
      </c>
      <c r="L21" s="27">
        <f t="shared" si="11"/>
        <v>-24.197240000000001</v>
      </c>
      <c r="M21" s="17">
        <f t="shared" si="12"/>
        <v>-22.758859999999999</v>
      </c>
      <c r="N21" s="22">
        <f t="shared" si="13"/>
        <v>-12.160247431153692</v>
      </c>
      <c r="O21" s="23">
        <f t="shared" si="14"/>
        <v>6.3343287230092698E-4</v>
      </c>
      <c r="P21" s="22">
        <f t="shared" si="15"/>
        <v>212.86204418684355</v>
      </c>
      <c r="Q21" s="102">
        <f t="shared" si="16"/>
        <v>11.649750791003473</v>
      </c>
      <c r="R21" s="106">
        <f t="shared" si="17"/>
        <v>8.5838746076203676E-2</v>
      </c>
      <c r="S21" s="32">
        <f t="shared" si="18"/>
        <v>-5.1420706557810369</v>
      </c>
      <c r="T21" s="24">
        <f t="shared" si="19"/>
        <v>435.50275999999997</v>
      </c>
      <c r="U21" s="66">
        <f t="shared" si="20"/>
        <v>436.94114000000002</v>
      </c>
      <c r="W21" s="1202">
        <f t="shared" si="21"/>
        <v>7.1283380194405166E-3</v>
      </c>
      <c r="X21" s="21">
        <f t="shared" si="22"/>
        <v>3.2084343735360853E-4</v>
      </c>
      <c r="Y21" s="23">
        <f t="shared" si="23"/>
        <v>6.608142461823314E-3</v>
      </c>
      <c r="Z21" s="21">
        <f t="shared" si="24"/>
        <v>1.3492324598719652E-2</v>
      </c>
      <c r="AA21" s="21">
        <f t="shared" si="25"/>
        <v>2.871723157968014E-2</v>
      </c>
      <c r="AB21" s="21">
        <f t="shared" si="26"/>
        <v>-4.2640762978560884</v>
      </c>
      <c r="AC21" s="70">
        <f t="shared" si="27"/>
        <v>2.9741846238151055E-4</v>
      </c>
      <c r="AF21" s="1168">
        <f t="shared" si="28"/>
        <v>52</v>
      </c>
      <c r="AG21" s="19">
        <f t="shared" si="28"/>
        <v>9</v>
      </c>
      <c r="AH21" s="1188">
        <f t="shared" si="28"/>
        <v>92</v>
      </c>
      <c r="AI21" s="19">
        <f t="shared" si="28"/>
        <v>1679</v>
      </c>
      <c r="AJ21" s="1100">
        <f t="shared" si="28"/>
        <v>511.75920000000002</v>
      </c>
      <c r="AK21" s="1146">
        <f t="shared" si="29"/>
        <v>1</v>
      </c>
      <c r="AL21" s="97">
        <f t="shared" si="30"/>
        <v>1179</v>
      </c>
      <c r="AM21" s="75">
        <f t="shared" si="31"/>
        <v>0.16068321290591298</v>
      </c>
      <c r="AN21" s="75">
        <f t="shared" si="32"/>
        <v>3.2073539606917406E-3</v>
      </c>
      <c r="AO21" s="75">
        <f t="shared" si="33"/>
        <v>0.16389056686660472</v>
      </c>
      <c r="AP21" s="75">
        <f t="shared" si="40"/>
        <v>0.17389056686660473</v>
      </c>
      <c r="AQ21" s="12">
        <f t="shared" si="38"/>
        <v>3546.8328904073205</v>
      </c>
      <c r="AR21" s="13" t="str">
        <f t="shared" si="34"/>
        <v>Infl</v>
      </c>
      <c r="AS21" s="12">
        <f t="shared" si="35"/>
        <v>-3546.8328904073205</v>
      </c>
      <c r="AT21" s="98">
        <f t="shared" si="39"/>
        <v>-0.74576077915462524</v>
      </c>
      <c r="AU21" s="12">
        <f t="shared" si="36"/>
        <v>379982.91614719899</v>
      </c>
      <c r="AV21" s="1047">
        <f t="shared" si="37"/>
        <v>-11491.73856491972</v>
      </c>
    </row>
    <row r="22" spans="2:48" ht="21" customHeight="1">
      <c r="B22" s="1168">
        <f>'Input-Output'!BK17</f>
        <v>51</v>
      </c>
      <c r="C22" s="19">
        <f>'Input-Output'!BL17</f>
        <v>7</v>
      </c>
      <c r="D22" s="1188">
        <f>'Input-Output'!BM17</f>
        <v>90</v>
      </c>
      <c r="E22" s="19">
        <f>'Input-Output'!BN17</f>
        <v>1659</v>
      </c>
      <c r="F22" s="19">
        <f>'Input-Output'!BO17</f>
        <v>505.66320000000002</v>
      </c>
      <c r="G22" s="20">
        <f t="shared" si="6"/>
        <v>95.396441075204208</v>
      </c>
      <c r="H22" s="20">
        <f t="shared" si="7"/>
        <v>28.247366464092543</v>
      </c>
      <c r="I22" s="20">
        <f t="shared" si="8"/>
        <v>383.35687305432742</v>
      </c>
      <c r="J22" s="20">
        <f t="shared" si="9"/>
        <v>13.836078569116856</v>
      </c>
      <c r="K22" s="20">
        <f t="shared" si="10"/>
        <v>23.281130634071811</v>
      </c>
      <c r="L22" s="27">
        <f t="shared" si="11"/>
        <v>-24.12604</v>
      </c>
      <c r="M22" s="17">
        <f t="shared" si="12"/>
        <v>-22.712060000000001</v>
      </c>
      <c r="N22" s="22">
        <f t="shared" si="13"/>
        <v>-12.314314718142747</v>
      </c>
      <c r="O22" s="23">
        <f t="shared" si="14"/>
        <v>6.2868905623015062E-4</v>
      </c>
      <c r="P22" s="22">
        <f t="shared" si="15"/>
        <v>210.62974701575493</v>
      </c>
      <c r="Q22" s="102">
        <f t="shared" si="16"/>
        <v>11.643051479488863</v>
      </c>
      <c r="R22" s="106">
        <f t="shared" si="17"/>
        <v>8.5888136951181859E-2</v>
      </c>
      <c r="S22" s="32">
        <f t="shared" si="18"/>
        <v>-5.1299450044690778</v>
      </c>
      <c r="T22" s="24">
        <f t="shared" si="19"/>
        <v>435.57396</v>
      </c>
      <c r="U22" s="66">
        <f t="shared" si="20"/>
        <v>436.98793999999998</v>
      </c>
      <c r="W22" s="1202">
        <f t="shared" si="21"/>
        <v>7.1458683586768249E-3</v>
      </c>
      <c r="X22" s="21">
        <f t="shared" si="22"/>
        <v>3.2139770276603738E-4</v>
      </c>
      <c r="Y22" s="23">
        <f t="shared" si="23"/>
        <v>6.6330616921929913E-3</v>
      </c>
      <c r="Z22" s="21">
        <f t="shared" si="24"/>
        <v>1.3543204001946862E-2</v>
      </c>
      <c r="AA22" s="21">
        <f t="shared" si="25"/>
        <v>2.8523228916411226E-2</v>
      </c>
      <c r="AB22" s="21">
        <f t="shared" si="26"/>
        <v>-4.2708548389241772</v>
      </c>
      <c r="AC22" s="70">
        <f t="shared" si="27"/>
        <v>2.9832227973965078E-4</v>
      </c>
      <c r="AF22" s="1168">
        <f t="shared" si="28"/>
        <v>51</v>
      </c>
      <c r="AG22" s="19">
        <f t="shared" si="28"/>
        <v>7</v>
      </c>
      <c r="AH22" s="1188">
        <f t="shared" si="28"/>
        <v>90</v>
      </c>
      <c r="AI22" s="19">
        <f t="shared" si="28"/>
        <v>1659</v>
      </c>
      <c r="AJ22" s="1100">
        <f t="shared" si="28"/>
        <v>505.66320000000002</v>
      </c>
      <c r="AK22" s="1146">
        <f t="shared" si="29"/>
        <v>1</v>
      </c>
      <c r="AL22" s="97">
        <f t="shared" si="30"/>
        <v>1159</v>
      </c>
      <c r="AM22" s="75">
        <f t="shared" si="31"/>
        <v>0.15453404425353504</v>
      </c>
      <c r="AN22" s="75">
        <f t="shared" si="32"/>
        <v>3.1469367469478017E-3</v>
      </c>
      <c r="AO22" s="75">
        <f t="shared" si="33"/>
        <v>0.15768098100048283</v>
      </c>
      <c r="AP22" s="75">
        <f t="shared" si="40"/>
        <v>0.16768098100048284</v>
      </c>
      <c r="AQ22" s="12">
        <f t="shared" si="38"/>
        <v>3481.9273856109053</v>
      </c>
      <c r="AR22" s="13" t="str">
        <f t="shared" si="34"/>
        <v>Infl</v>
      </c>
      <c r="AS22" s="12">
        <f t="shared" si="35"/>
        <v>-3481.9273856109053</v>
      </c>
      <c r="AT22" s="98">
        <f t="shared" si="39"/>
        <v>-0.73211368008793087</v>
      </c>
      <c r="AU22" s="12">
        <f t="shared" si="36"/>
        <v>372761.64716741501</v>
      </c>
      <c r="AV22" s="1047">
        <f t="shared" si="37"/>
        <v>-11281.444729379333</v>
      </c>
    </row>
    <row r="23" spans="2:48" ht="21" customHeight="1">
      <c r="B23" s="1168">
        <f>'Input-Output'!BK18</f>
        <v>50</v>
      </c>
      <c r="C23" s="19">
        <f>'Input-Output'!BL18</f>
        <v>5</v>
      </c>
      <c r="D23" s="1188">
        <f>'Input-Output'!BM18</f>
        <v>88</v>
      </c>
      <c r="E23" s="19">
        <f>'Input-Output'!BN18</f>
        <v>1639</v>
      </c>
      <c r="F23" s="19">
        <f>'Input-Output'!BO18</f>
        <v>499.56720000000001</v>
      </c>
      <c r="G23" s="20">
        <f t="shared" si="6"/>
        <v>95.466199524531262</v>
      </c>
      <c r="H23" s="20">
        <f t="shared" si="7"/>
        <v>28.26802229212867</v>
      </c>
      <c r="I23" s="20">
        <f t="shared" si="8"/>
        <v>383.63720197123172</v>
      </c>
      <c r="J23" s="20">
        <f t="shared" si="9"/>
        <v>13.846196172822722</v>
      </c>
      <c r="K23" s="20">
        <f t="shared" si="10"/>
        <v>23.051948051948052</v>
      </c>
      <c r="L23" s="27">
        <f t="shared" si="11"/>
        <v>-24.054839999999999</v>
      </c>
      <c r="M23" s="17">
        <f t="shared" si="12"/>
        <v>-22.66526</v>
      </c>
      <c r="N23" s="22">
        <f t="shared" si="13"/>
        <v>-12.469642632548473</v>
      </c>
      <c r="O23" s="23">
        <f t="shared" si="14"/>
        <v>6.2394588773967072E-4</v>
      </c>
      <c r="P23" s="22">
        <f t="shared" si="15"/>
        <v>208.40947143325826</v>
      </c>
      <c r="Q23" s="102">
        <f t="shared" si="16"/>
        <v>11.636356904234699</v>
      </c>
      <c r="R23" s="106">
        <f t="shared" si="17"/>
        <v>8.5937549718510295E-2</v>
      </c>
      <c r="S23" s="32">
        <f t="shared" si="18"/>
        <v>-5.1178189729214258</v>
      </c>
      <c r="T23" s="24">
        <f t="shared" si="19"/>
        <v>435.64515999999998</v>
      </c>
      <c r="U23" s="66">
        <f t="shared" si="20"/>
        <v>437.03474</v>
      </c>
      <c r="W23" s="1202">
        <f t="shared" si="21"/>
        <v>7.1634376480364153E-3</v>
      </c>
      <c r="X23" s="21">
        <f t="shared" si="22"/>
        <v>3.2195277181483228E-4</v>
      </c>
      <c r="Y23" s="23">
        <f t="shared" si="23"/>
        <v>6.658065851282439E-3</v>
      </c>
      <c r="Z23" s="21">
        <f t="shared" si="24"/>
        <v>1.359425681031198E-2</v>
      </c>
      <c r="AA23" s="21">
        <f t="shared" si="25"/>
        <v>2.8328950338659179E-2</v>
      </c>
      <c r="AB23" s="21">
        <f t="shared" si="26"/>
        <v>-4.2776893819985959</v>
      </c>
      <c r="AC23" s="70">
        <f t="shared" si="27"/>
        <v>2.9922846891072168E-4</v>
      </c>
      <c r="AF23" s="1168">
        <f t="shared" si="28"/>
        <v>50</v>
      </c>
      <c r="AG23" s="19">
        <f t="shared" si="28"/>
        <v>5</v>
      </c>
      <c r="AH23" s="1188">
        <f t="shared" si="28"/>
        <v>88</v>
      </c>
      <c r="AI23" s="19">
        <f t="shared" si="28"/>
        <v>1639</v>
      </c>
      <c r="AJ23" s="1100">
        <f t="shared" si="28"/>
        <v>499.56720000000001</v>
      </c>
      <c r="AK23" s="1146">
        <f t="shared" si="29"/>
        <v>1</v>
      </c>
      <c r="AL23" s="97">
        <f t="shared" si="30"/>
        <v>1139</v>
      </c>
      <c r="AM23" s="75">
        <f t="shared" si="31"/>
        <v>0.14838654049953845</v>
      </c>
      <c r="AN23" s="75">
        <f t="shared" si="32"/>
        <v>3.0870589810314038E-3</v>
      </c>
      <c r="AO23" s="75">
        <f t="shared" si="33"/>
        <v>0.15147359948056985</v>
      </c>
      <c r="AP23" s="75">
        <f t="shared" si="40"/>
        <v>0.16147359948056986</v>
      </c>
      <c r="AQ23" s="12">
        <f t="shared" si="38"/>
        <v>3415.8884336350961</v>
      </c>
      <c r="AR23" s="13" t="str">
        <f t="shared" si="34"/>
        <v>Infl</v>
      </c>
      <c r="AS23" s="12">
        <f t="shared" si="35"/>
        <v>-3415.8884336350961</v>
      </c>
      <c r="AT23" s="98">
        <f t="shared" si="39"/>
        <v>-0.71822826123630334</v>
      </c>
      <c r="AU23" s="12">
        <f t="shared" si="36"/>
        <v>365429.10483170109</v>
      </c>
      <c r="AV23" s="1047">
        <f t="shared" si="37"/>
        <v>-11067.478524977712</v>
      </c>
    </row>
    <row r="24" spans="2:48" ht="21" customHeight="1">
      <c r="B24" s="1168">
        <f>'Input-Output'!BK19</f>
        <v>49</v>
      </c>
      <c r="C24" s="19">
        <f>'Input-Output'!BL19</f>
        <v>3</v>
      </c>
      <c r="D24" s="1188">
        <f>'Input-Output'!BM19</f>
        <v>86</v>
      </c>
      <c r="E24" s="19">
        <f>'Input-Output'!BN19</f>
        <v>1619</v>
      </c>
      <c r="F24" s="19">
        <f>'Input-Output'!BO19</f>
        <v>493.47120000000001</v>
      </c>
      <c r="G24" s="20">
        <f t="shared" si="6"/>
        <v>95.535999272674076</v>
      </c>
      <c r="H24" s="20">
        <f t="shared" si="7"/>
        <v>28.288690348952059</v>
      </c>
      <c r="I24" s="20">
        <f t="shared" si="8"/>
        <v>383.91769685014356</v>
      </c>
      <c r="J24" s="20">
        <f t="shared" si="9"/>
        <v>13.856319766413044</v>
      </c>
      <c r="K24" s="20">
        <f t="shared" si="10"/>
        <v>22.822765469824294</v>
      </c>
      <c r="L24" s="27">
        <f t="shared" si="11"/>
        <v>-23.983640000000001</v>
      </c>
      <c r="M24" s="17">
        <f t="shared" si="12"/>
        <v>-22.618459999999999</v>
      </c>
      <c r="N24" s="22">
        <f t="shared" si="13"/>
        <v>-12.626250378428603</v>
      </c>
      <c r="O24" s="23">
        <f t="shared" si="14"/>
        <v>6.1920336770963447E-4</v>
      </c>
      <c r="P24" s="22">
        <f t="shared" si="15"/>
        <v>206.20115795016542</v>
      </c>
      <c r="Q24" s="102">
        <f t="shared" si="16"/>
        <v>11.629667061290476</v>
      </c>
      <c r="R24" s="106">
        <f t="shared" si="17"/>
        <v>8.5986984384833792E-2</v>
      </c>
      <c r="S24" s="32">
        <f t="shared" si="18"/>
        <v>-5.1056925601522005</v>
      </c>
      <c r="T24" s="24">
        <f t="shared" si="19"/>
        <v>435.71636000000001</v>
      </c>
      <c r="U24" s="66">
        <f t="shared" si="20"/>
        <v>437.08154000000002</v>
      </c>
      <c r="W24" s="1202">
        <f t="shared" si="21"/>
        <v>7.1810459642161683E-3</v>
      </c>
      <c r="X24" s="21">
        <f t="shared" si="22"/>
        <v>3.2250864540971406E-4</v>
      </c>
      <c r="Y24" s="23">
        <f t="shared" si="23"/>
        <v>6.683155195746672E-3</v>
      </c>
      <c r="Z24" s="21">
        <f t="shared" si="24"/>
        <v>1.3645483547846194E-2</v>
      </c>
      <c r="AA24" s="21">
        <f t="shared" si="25"/>
        <v>2.813439567127243E-2</v>
      </c>
      <c r="AB24" s="21">
        <f t="shared" si="26"/>
        <v>-4.2845807708766879</v>
      </c>
      <c r="AC24" s="70">
        <f t="shared" si="27"/>
        <v>3.0013703502399398E-4</v>
      </c>
      <c r="AF24" s="1168">
        <f t="shared" si="28"/>
        <v>49</v>
      </c>
      <c r="AG24" s="19">
        <f t="shared" si="28"/>
        <v>3</v>
      </c>
      <c r="AH24" s="1188">
        <f t="shared" si="28"/>
        <v>86</v>
      </c>
      <c r="AI24" s="19">
        <f t="shared" si="28"/>
        <v>1619</v>
      </c>
      <c r="AJ24" s="1100">
        <f t="shared" si="28"/>
        <v>493.47120000000001</v>
      </c>
      <c r="AK24" s="1146">
        <f t="shared" si="29"/>
        <v>1</v>
      </c>
      <c r="AL24" s="97">
        <f t="shared" si="30"/>
        <v>1119</v>
      </c>
      <c r="AM24" s="75">
        <f t="shared" si="31"/>
        <v>0.14224071207825623</v>
      </c>
      <c r="AN24" s="75">
        <f t="shared" si="32"/>
        <v>3.0277216687214122E-3</v>
      </c>
      <c r="AO24" s="75">
        <f t="shared" si="33"/>
        <v>0.14526843374697765</v>
      </c>
      <c r="AP24" s="75">
        <f t="shared" si="40"/>
        <v>0.15526843374697766</v>
      </c>
      <c r="AQ24" s="12">
        <f t="shared" si="38"/>
        <v>3348.6489767299149</v>
      </c>
      <c r="AR24" s="13" t="str">
        <f t="shared" si="34"/>
        <v>Infl</v>
      </c>
      <c r="AS24" s="12">
        <f t="shared" si="35"/>
        <v>-3348.6489767299149</v>
      </c>
      <c r="AT24" s="98">
        <f t="shared" si="39"/>
        <v>-0.70409042296736157</v>
      </c>
      <c r="AU24" s="12">
        <f t="shared" si="36"/>
        <v>357978.3819829225</v>
      </c>
      <c r="AV24" s="1047">
        <f t="shared" si="37"/>
        <v>-10849.622684604927</v>
      </c>
    </row>
    <row r="25" spans="2:48" ht="21" customHeight="1">
      <c r="B25" s="1168">
        <f>'Input-Output'!BK20</f>
        <v>48</v>
      </c>
      <c r="C25" s="19">
        <f>'Input-Output'!BL20</f>
        <v>2</v>
      </c>
      <c r="D25" s="1188">
        <f>'Input-Output'!BM20</f>
        <v>85</v>
      </c>
      <c r="E25" s="19">
        <f>'Input-Output'!BN20</f>
        <v>1609</v>
      </c>
      <c r="F25" s="19">
        <f>'Input-Output'!BO20</f>
        <v>490.42320000000001</v>
      </c>
      <c r="G25" s="20">
        <f t="shared" si="6"/>
        <v>95.570914639645565</v>
      </c>
      <c r="H25" s="20">
        <f t="shared" si="7"/>
        <v>28.299028964889466</v>
      </c>
      <c r="I25" s="20">
        <f t="shared" si="8"/>
        <v>384.05800654883745</v>
      </c>
      <c r="J25" s="20">
        <f t="shared" si="9"/>
        <v>13.861383810262502</v>
      </c>
      <c r="K25" s="20">
        <f t="shared" si="10"/>
        <v>22.708174178762413</v>
      </c>
      <c r="L25" s="27">
        <f t="shared" si="11"/>
        <v>-23.948039999999999</v>
      </c>
      <c r="M25" s="17">
        <f t="shared" si="12"/>
        <v>-22.59506</v>
      </c>
      <c r="N25" s="22">
        <f t="shared" si="13"/>
        <v>-12.705040311019925</v>
      </c>
      <c r="O25" s="23">
        <f t="shared" si="14"/>
        <v>6.1683235114249593E-4</v>
      </c>
      <c r="P25" s="22">
        <f t="shared" si="15"/>
        <v>205.10146848650029</v>
      </c>
      <c r="Q25" s="102">
        <f t="shared" si="16"/>
        <v>11.626323913201093</v>
      </c>
      <c r="R25" s="106">
        <f t="shared" si="17"/>
        <v>8.6011709932195465E-2</v>
      </c>
      <c r="S25" s="32">
        <f t="shared" si="18"/>
        <v>-5.0996292105012051</v>
      </c>
      <c r="T25" s="24">
        <f t="shared" si="19"/>
        <v>435.75196</v>
      </c>
      <c r="U25" s="66">
        <f t="shared" si="20"/>
        <v>437.10494</v>
      </c>
      <c r="W25" s="1202">
        <f t="shared" si="21"/>
        <v>7.1898647813668313E-3</v>
      </c>
      <c r="X25" s="21">
        <f t="shared" si="22"/>
        <v>3.2278688419640406E-4</v>
      </c>
      <c r="Y25" s="23">
        <f t="shared" si="23"/>
        <v>6.695731892881647E-3</v>
      </c>
      <c r="Z25" s="21">
        <f t="shared" si="24"/>
        <v>1.3671162304184333E-2</v>
      </c>
      <c r="AA25" s="21">
        <f t="shared" si="25"/>
        <v>2.8037014749245266E-2</v>
      </c>
      <c r="AB25" s="21">
        <f t="shared" si="26"/>
        <v>-4.2880480514330372</v>
      </c>
      <c r="AC25" s="70">
        <f t="shared" si="27"/>
        <v>3.0059221103912473E-4</v>
      </c>
      <c r="AF25" s="1168">
        <f t="shared" si="28"/>
        <v>48</v>
      </c>
      <c r="AG25" s="19">
        <f t="shared" si="28"/>
        <v>2</v>
      </c>
      <c r="AH25" s="1188">
        <f t="shared" si="28"/>
        <v>85</v>
      </c>
      <c r="AI25" s="19">
        <f t="shared" si="28"/>
        <v>1609</v>
      </c>
      <c r="AJ25" s="1100">
        <f t="shared" si="28"/>
        <v>490.42320000000001</v>
      </c>
      <c r="AK25" s="1146">
        <f t="shared" si="29"/>
        <v>1</v>
      </c>
      <c r="AL25" s="97">
        <f t="shared" si="30"/>
        <v>1109</v>
      </c>
      <c r="AM25" s="75">
        <f t="shared" si="31"/>
        <v>0.13916842938126692</v>
      </c>
      <c r="AN25" s="75">
        <f t="shared" si="32"/>
        <v>2.998255997224657E-3</v>
      </c>
      <c r="AO25" s="75">
        <f t="shared" si="33"/>
        <v>0.14216668537849159</v>
      </c>
      <c r="AP25" s="75">
        <f t="shared" si="40"/>
        <v>0.1521666853784916</v>
      </c>
      <c r="AQ25" s="12">
        <f t="shared" si="38"/>
        <v>3314.5562784723388</v>
      </c>
      <c r="AR25" s="13" t="str">
        <f t="shared" si="34"/>
        <v>Infl</v>
      </c>
      <c r="AS25" s="12">
        <f t="shared" si="35"/>
        <v>-3314.5562784723388</v>
      </c>
      <c r="AT25" s="98">
        <f t="shared" si="39"/>
        <v>-0.6969220567088843</v>
      </c>
      <c r="AU25" s="12">
        <f t="shared" si="36"/>
        <v>354206.3550024947</v>
      </c>
      <c r="AV25" s="1047">
        <f t="shared" si="37"/>
        <v>-10739.162342250378</v>
      </c>
    </row>
    <row r="26" spans="2:48" ht="21" customHeight="1" thickBot="1">
      <c r="B26" s="1168">
        <f>'Input-Output'!BK21</f>
        <v>47</v>
      </c>
      <c r="C26" s="19">
        <f>'Input-Output'!BL21</f>
        <v>1</v>
      </c>
      <c r="D26" s="1188">
        <f>'Input-Output'!BM21</f>
        <v>84</v>
      </c>
      <c r="E26" s="19">
        <f>'Input-Output'!BN21</f>
        <v>1599</v>
      </c>
      <c r="F26" s="19">
        <f>'Input-Output'!BO21</f>
        <v>487.37520000000001</v>
      </c>
      <c r="G26" s="20">
        <f t="shared" si="6"/>
        <v>95.605840338334602</v>
      </c>
      <c r="H26" s="20">
        <f t="shared" si="7"/>
        <v>28.309370640100454</v>
      </c>
      <c r="I26" s="20">
        <f t="shared" si="8"/>
        <v>384.1983577662179</v>
      </c>
      <c r="J26" s="20">
        <f t="shared" si="9"/>
        <v>13.866449352600313</v>
      </c>
      <c r="K26" s="20">
        <f t="shared" si="10"/>
        <v>22.593582887700535</v>
      </c>
      <c r="L26" s="27">
        <f t="shared" si="11"/>
        <v>-23.91244</v>
      </c>
      <c r="M26" s="17">
        <f t="shared" si="12"/>
        <v>-22.571660000000001</v>
      </c>
      <c r="N26" s="22">
        <f t="shared" si="13"/>
        <v>-12.78415760585551</v>
      </c>
      <c r="O26" s="23">
        <f t="shared" si="14"/>
        <v>6.1446149702080045E-4</v>
      </c>
      <c r="P26" s="22">
        <f t="shared" si="15"/>
        <v>204.00474737327937</v>
      </c>
      <c r="Q26" s="102">
        <f t="shared" si="16"/>
        <v>11.622981946709491</v>
      </c>
      <c r="R26" s="106">
        <f t="shared" si="17"/>
        <v>8.603644095679798E-2</v>
      </c>
      <c r="S26" s="32">
        <f t="shared" si="18"/>
        <v>-5.0935657651747706</v>
      </c>
      <c r="T26" s="24">
        <f t="shared" si="19"/>
        <v>435.78755999999998</v>
      </c>
      <c r="U26" s="66">
        <f t="shared" si="20"/>
        <v>437.12833999999998</v>
      </c>
      <c r="W26" s="1202">
        <f t="shared" si="21"/>
        <v>7.1986933840425425E-3</v>
      </c>
      <c r="X26" s="21">
        <f t="shared" si="22"/>
        <v>3.2306532446105398E-4</v>
      </c>
      <c r="Y26" s="23">
        <f t="shared" si="23"/>
        <v>6.7083299829086328E-3</v>
      </c>
      <c r="Z26" s="21">
        <f t="shared" si="24"/>
        <v>1.3696884739944456E-2</v>
      </c>
      <c r="AA26" s="71">
        <f t="shared" si="25"/>
        <v>2.7939564739150921E-2</v>
      </c>
      <c r="AB26" s="71">
        <f t="shared" si="26"/>
        <v>-4.2915298686299526</v>
      </c>
      <c r="AC26" s="70">
        <f t="shared" si="27"/>
        <v>3.0104798321704476E-4</v>
      </c>
      <c r="AF26" s="1168">
        <f t="shared" si="28"/>
        <v>47</v>
      </c>
      <c r="AG26" s="19">
        <f t="shared" si="28"/>
        <v>1</v>
      </c>
      <c r="AH26" s="1188">
        <f t="shared" si="28"/>
        <v>84</v>
      </c>
      <c r="AI26" s="19">
        <f t="shared" si="28"/>
        <v>1599</v>
      </c>
      <c r="AJ26" s="1100">
        <f t="shared" si="28"/>
        <v>487.37520000000001</v>
      </c>
      <c r="AK26" s="1146">
        <f t="shared" si="29"/>
        <v>1</v>
      </c>
      <c r="AL26" s="97">
        <f t="shared" si="30"/>
        <v>1099</v>
      </c>
      <c r="AM26" s="75">
        <f t="shared" si="31"/>
        <v>0.13609656943555926</v>
      </c>
      <c r="AN26" s="75">
        <f t="shared" si="32"/>
        <v>2.96892581671081E-3</v>
      </c>
      <c r="AO26" s="75">
        <f t="shared" si="33"/>
        <v>0.13906549525227008</v>
      </c>
      <c r="AP26" s="75">
        <f t="shared" si="40"/>
        <v>0.14906549525227009</v>
      </c>
      <c r="AQ26" s="12">
        <f t="shared" si="38"/>
        <v>3280.1351882748618</v>
      </c>
      <c r="AR26" s="13" t="str">
        <f t="shared" si="34"/>
        <v>Infl</v>
      </c>
      <c r="AS26" s="12">
        <f t="shared" si="35"/>
        <v>-3280.1351882748618</v>
      </c>
      <c r="AT26" s="98">
        <f t="shared" si="39"/>
        <v>-0.68968464241895588</v>
      </c>
      <c r="AU26" s="12">
        <f t="shared" si="36"/>
        <v>350401.86900229607</v>
      </c>
      <c r="AV26" s="1047">
        <f t="shared" si="37"/>
        <v>-10627.638010010553</v>
      </c>
    </row>
    <row r="27" spans="2:48" ht="21" customHeight="1">
      <c r="B27" s="1177" t="str">
        <f>'Input-Output'!BK22</f>
        <v>Section &gt;&gt;</v>
      </c>
      <c r="C27" s="1079"/>
      <c r="D27" s="1080" t="str">
        <f>'Input-Output'!BM22</f>
        <v>6-Htl</v>
      </c>
      <c r="E27" s="1079" t="s">
        <v>873</v>
      </c>
      <c r="F27" s="1081">
        <f>'Input-Output'!BO22</f>
        <v>25</v>
      </c>
      <c r="G27" s="1082" t="s">
        <v>867</v>
      </c>
      <c r="H27" s="1083"/>
      <c r="I27" s="1081">
        <f>'Input-Output'!BG44</f>
        <v>250</v>
      </c>
      <c r="J27" s="1083" t="s">
        <v>874</v>
      </c>
      <c r="K27" s="1084">
        <f>'Input-Output'!BG46</f>
        <v>475.59927922569437</v>
      </c>
      <c r="L27" s="1073" t="s">
        <v>885</v>
      </c>
      <c r="M27" s="1085"/>
      <c r="N27" s="1086"/>
      <c r="O27" s="1081">
        <f>'Input-Output'!BG47</f>
        <v>4755.9927922569441</v>
      </c>
      <c r="P27" s="1087" t="s">
        <v>869</v>
      </c>
      <c r="Q27" s="1088"/>
      <c r="R27" s="1081">
        <f>'Input-Output'!BG45</f>
        <v>450000</v>
      </c>
      <c r="S27" s="1087" t="s">
        <v>868</v>
      </c>
      <c r="T27" s="1089"/>
      <c r="U27" s="1090">
        <f>'Input-Output'!BG50</f>
        <v>45</v>
      </c>
      <c r="W27" s="1111" t="s">
        <v>103</v>
      </c>
      <c r="X27" s="1112"/>
      <c r="Y27" s="1112"/>
      <c r="Z27" s="1113">
        <f>'Input-Output'!BG32</f>
        <v>0.01</v>
      </c>
      <c r="AA27" s="35" t="s">
        <v>102</v>
      </c>
      <c r="AB27" s="10"/>
      <c r="AC27" s="1057">
        <f>'Input-Output'!BG31</f>
        <v>0.65</v>
      </c>
      <c r="AF27" s="1166" t="str">
        <f>B27</f>
        <v>Section &gt;&gt;</v>
      </c>
      <c r="AG27" s="1104"/>
      <c r="AH27" s="1105" t="str">
        <f>D27</f>
        <v>6-Htl</v>
      </c>
      <c r="AI27" s="1104" t="str">
        <f>E27</f>
        <v>Flrs/S</v>
      </c>
      <c r="AJ27" s="1106">
        <f>F27</f>
        <v>25</v>
      </c>
      <c r="AK27" s="1207">
        <f>SUM(AK28:AK39)</f>
        <v>12</v>
      </c>
      <c r="AL27" s="1114" t="s">
        <v>112</v>
      </c>
      <c r="AM27" s="1115"/>
      <c r="AN27" s="1116">
        <f>'Input-Output'!BG55</f>
        <v>40.425938734184022</v>
      </c>
      <c r="AO27" s="1114" t="s">
        <v>882</v>
      </c>
      <c r="AP27" s="1117"/>
      <c r="AQ27" s="1118"/>
      <c r="AR27" s="1080">
        <f xml:space="preserve"> (SUM(AQ28:AQ39)/AK27) * AJ27</f>
        <v>64387.132738010936</v>
      </c>
      <c r="AS27" s="1114" t="s">
        <v>884</v>
      </c>
      <c r="AT27" s="1117"/>
      <c r="AU27" s="1118"/>
      <c r="AV27" s="1148">
        <f xml:space="preserve"> (SUM(AV28:AV39)/AK27) * AJ27</f>
        <v>-208614.31007115549</v>
      </c>
    </row>
    <row r="28" spans="2:48" ht="21" customHeight="1">
      <c r="B28" s="1168">
        <f>'Input-Output'!BK23</f>
        <v>46</v>
      </c>
      <c r="C28" s="19">
        <f>'Input-Output'!BL23</f>
        <v>25</v>
      </c>
      <c r="D28" s="1188">
        <f>'Input-Output'!BM23</f>
        <v>83</v>
      </c>
      <c r="E28" s="19">
        <f>'Input-Output'!BN23</f>
        <v>1589</v>
      </c>
      <c r="F28" s="19">
        <f>'Input-Output'!BO23</f>
        <v>484.3272</v>
      </c>
      <c r="G28" s="20">
        <f t="shared" ref="G28:G40" si="41">IF(E28="XX","XX",((101325*(1-2.25577*(10^(-5))*F28)^5.2555)/1000))</f>
        <v>95.64077637107988</v>
      </c>
      <c r="H28" s="20">
        <f t="shared" ref="H28:H40" si="42" xml:space="preserve"> IF(E28="XX", "XX", G28*$AJ$5)</f>
        <v>28.319715375277518</v>
      </c>
      <c r="I28" s="20">
        <f t="shared" ref="I28:I40" si="43">IF(E28="XX", "XX", G28*$AL$5)</f>
        <v>384.33875051168309</v>
      </c>
      <c r="J28" s="20">
        <f t="shared" ref="J28:J40" si="44" xml:space="preserve"> IF(E28="XX", "XX",G28*$AN$5)</f>
        <v>13.871516393765672</v>
      </c>
      <c r="K28" s="20">
        <f t="shared" ref="K28:K40" si="45" xml:space="preserve"> IF(E28="XX", "XX", ( $K$79 + $U$2 * (E28-$D$2)/$F$2 ) )</f>
        <v>22.478991596638657</v>
      </c>
      <c r="L28" s="27">
        <f t="shared" ref="L28:L40" si="46" xml:space="preserve"> IF(E28="XX", "XX", $L$79 - $AA$2*(E28-$E$79))</f>
        <v>-23.876840000000001</v>
      </c>
      <c r="M28" s="17">
        <f t="shared" ref="M28:M40" si="47">IF(E28="XX","XX ", $M$79-$AC$2*(E28-$E$79))</f>
        <v>-22.548259999999999</v>
      </c>
      <c r="N28" s="22">
        <f t="shared" ref="N28:N40" si="48">IF(E28="XX","XX",100.45+33.193*AB28+2.319*AB28^2+0.17074*AB28^3+1.2063*(AA28*0.4897705)^3)</f>
        <v>-12.863604791166679</v>
      </c>
      <c r="O28" s="23">
        <f t="shared" ref="O28:O40" si="49">IF(E28="XX","XX ",((1093-0.556*M28)*X28-0.24*(L28-M28))/(1093+0.444*L28-M28))</f>
        <v>6.1209080545475186E-4</v>
      </c>
      <c r="P28" s="22">
        <f t="shared" ref="P28:P40" si="50" xml:space="preserve"> IF(E28="XX", "XX", ((O28/AC28)/(1-(1-(O28/AC28))*(Y28/J28)))*100)</f>
        <v>202.91098725735606</v>
      </c>
      <c r="Q28" s="102">
        <f t="shared" ref="Q28:Q40" si="51" xml:space="preserve"> IF(E28="XX", "XX", 0.7543*(T28*(1+1.6078*O28))/H28)</f>
        <v>11.619641161322923</v>
      </c>
      <c r="R28" s="106">
        <f t="shared" ref="R28:R40" si="52" xml:space="preserve"> IF(E28="XX", "XX", 1/Q28)</f>
        <v>8.6061177459472227E-2</v>
      </c>
      <c r="S28" s="32">
        <f t="shared" ref="S28:S40" si="53">IF(E28="XX", "XX", 0.24*L28+O28*(1061+0.444*L28))</f>
        <v>-5.0875022240494356</v>
      </c>
      <c r="T28" s="24">
        <f t="shared" ref="T28:T40" si="54">IF(E28="XX", "XX", L28+459.7)</f>
        <v>435.82315999999997</v>
      </c>
      <c r="U28" s="66">
        <f t="shared" ref="U28:U40" si="55">IF(E28="XX", "XX", M28+459.7)</f>
        <v>437.15174000000002</v>
      </c>
      <c r="W28" s="1202">
        <f t="shared" ref="W28:W40" si="56" xml:space="preserve"> IF(E28="XX", "XX", EXP((-10440.397/U28)+(-11.29465) + (-0.027022355*U28) + (0.00001289036*U28*U28) + (-0.0000000024780681*U28^3)+(6.5459673*LN(U28))) )</f>
        <v>7.2075317818671714E-3</v>
      </c>
      <c r="X28" s="21">
        <f t="shared" ref="X28:X40" si="57">IF(E28="XX", "XX", 0.62198*W28/(J28-W28))</f>
        <v>3.2334396631757465E-4</v>
      </c>
      <c r="Y28" s="23">
        <f t="shared" ref="Y28:Y40" si="58" xml:space="preserve"> IF(E28="XX", "XX", EXP((-10440.397/T28)+(-11.29465) + (-0.027022355*T28) + (0.00001289036*T28*T28) + (-0.0000000024780681*T28^3)+(6.5459673*LN(T28))) )</f>
        <v>6.7209494980976173E-3</v>
      </c>
      <c r="Z28" s="21">
        <f t="shared" ref="Z28:Z40" si="59">IF(E28="XX", "XX", Y28*2.041772658 )</f>
        <v>1.372265092101454E-2</v>
      </c>
      <c r="AA28" s="21">
        <f t="shared" ref="AA28:AA40" si="60">IF(E28="XX", "XX", (H28*O28)/(0.62198+O28))</f>
        <v>2.7842045619110627E-2</v>
      </c>
      <c r="AB28" s="21">
        <f t="shared" ref="AB28:AB40" si="61">IF(E28="XX", "XX", LN(AA28*0.4897705))</f>
        <v>-4.2950263334599823</v>
      </c>
      <c r="AC28" s="70">
        <f t="shared" ref="AC28:AC40" si="62">IF(E28="XX", "XX", 0.62198*(Y28/(J28-Y28)))</f>
        <v>3.0150435220125136E-4</v>
      </c>
      <c r="AF28" s="1168">
        <f t="shared" ref="AF28:AJ40" si="63">B28</f>
        <v>46</v>
      </c>
      <c r="AG28" s="19">
        <f t="shared" si="63"/>
        <v>25</v>
      </c>
      <c r="AH28" s="1188">
        <f t="shared" si="63"/>
        <v>83</v>
      </c>
      <c r="AI28" s="19">
        <f t="shared" si="63"/>
        <v>1589</v>
      </c>
      <c r="AJ28" s="1100">
        <f t="shared" si="63"/>
        <v>484.3272</v>
      </c>
      <c r="AK28" s="1146">
        <f t="shared" ref="AK28:AK40" si="64">IF( (AG28&gt;0),1, 0)</f>
        <v>1</v>
      </c>
      <c r="AL28" s="97">
        <f t="shared" ref="AL28:AL40" si="65" xml:space="preserve"> IF(D28="XX", "XX", E28- $D$2)</f>
        <v>1089</v>
      </c>
      <c r="AM28" s="75">
        <f t="shared" ref="AM28:AM40" si="66" xml:space="preserve"> IF(D28="XX", "XX", $AP$5 * R28 * (T28-$T$5)/$T$5 * $AR$5 * ($H$2-AL28))</f>
        <v>0.13302513354867093</v>
      </c>
      <c r="AN28" s="75">
        <f t="shared" ref="AN28:AN40" si="67" xml:space="preserve"> IF(D28="XX", "XX", $AT$5 * $AP$6^2 * $AT$6 * R28 * K28^2/2)</f>
        <v>2.9397312531594015E-3</v>
      </c>
      <c r="AO28" s="75">
        <f t="shared" ref="AO28:AO40" si="68" xml:space="preserve"> IF(D28="XX", "XX", AM28 +AN28)</f>
        <v>0.13596486480183034</v>
      </c>
      <c r="AP28" s="75">
        <f xml:space="preserve"> IF(D28="XX", "XX", AO28 +$Z$27)</f>
        <v>0.14596486480183035</v>
      </c>
      <c r="AQ28" s="12">
        <f xml:space="preserve"> IF(D28="XX", 0, 60 * ($AC$27 * $AN$27 * (2 * ABS(AP28)/R28)^0.5))</f>
        <v>2903.7568090562372</v>
      </c>
      <c r="AR28" s="13" t="str">
        <f t="shared" ref="AR28:AR40" si="69">IF(D28="XX", "XX", IF(AP28&lt;0, "Exfl", "Infl"))</f>
        <v>Infl</v>
      </c>
      <c r="AS28" s="12">
        <f t="shared" ref="AS28:AS40" si="70" xml:space="preserve"> IF(AR28="Infl", -AQ28, AQ28)</f>
        <v>-2903.7568090562372</v>
      </c>
      <c r="AT28" s="98">
        <f>IF(D28="XX", "XX", AS28/$O$27)</f>
        <v>-0.61054693223752066</v>
      </c>
      <c r="AU28" s="12">
        <f t="shared" ref="AU28:AU40" si="71">IF(D28="XX", "XX", AS28*1.08*(L28-$L$6))</f>
        <v>310083.44120060129</v>
      </c>
      <c r="AV28" s="1047">
        <f t="shared" ref="AV28:AV40" si="72" xml:space="preserve"> IF(D28="XX", 0, AS28 * 1.08 * 3000/1000)</f>
        <v>-9408.1720613422094</v>
      </c>
    </row>
    <row r="29" spans="2:48" ht="21" customHeight="1">
      <c r="B29" s="1168">
        <f>'Input-Output'!BK24</f>
        <v>46</v>
      </c>
      <c r="C29" s="19">
        <f>'Input-Output'!BL24</f>
        <v>24</v>
      </c>
      <c r="D29" s="1188">
        <f>'Input-Output'!BM24</f>
        <v>82</v>
      </c>
      <c r="E29" s="19">
        <f>'Input-Output'!BN24</f>
        <v>1579</v>
      </c>
      <c r="F29" s="19">
        <f>'Input-Output'!BO24</f>
        <v>481.2792</v>
      </c>
      <c r="G29" s="20">
        <f t="shared" si="41"/>
        <v>95.675722740220436</v>
      </c>
      <c r="H29" s="20">
        <f t="shared" si="42"/>
        <v>28.33006317111326</v>
      </c>
      <c r="I29" s="20">
        <f t="shared" si="43"/>
        <v>384.47918479463254</v>
      </c>
      <c r="J29" s="20">
        <f t="shared" si="44"/>
        <v>13.876584934097831</v>
      </c>
      <c r="K29" s="20">
        <f t="shared" si="45"/>
        <v>22.364400305576776</v>
      </c>
      <c r="L29" s="27">
        <f t="shared" si="46"/>
        <v>-23.841239999999999</v>
      </c>
      <c r="M29" s="17">
        <f t="shared" si="47"/>
        <v>-22.52486</v>
      </c>
      <c r="N29" s="22">
        <f t="shared" si="48"/>
        <v>-12.943384424830265</v>
      </c>
      <c r="O29" s="23">
        <f t="shared" si="49"/>
        <v>6.0972027655457634E-4</v>
      </c>
      <c r="P29" s="22">
        <f t="shared" si="50"/>
        <v>201.82018080388957</v>
      </c>
      <c r="Q29" s="102">
        <f t="shared" si="51"/>
        <v>11.616301556548883</v>
      </c>
      <c r="R29" s="106">
        <f t="shared" si="52"/>
        <v>8.6085919441049055E-2</v>
      </c>
      <c r="S29" s="32">
        <f t="shared" si="53"/>
        <v>-5.081438587001708</v>
      </c>
      <c r="T29" s="24">
        <f t="shared" si="54"/>
        <v>435.85875999999996</v>
      </c>
      <c r="U29" s="66">
        <f t="shared" si="55"/>
        <v>437.17514</v>
      </c>
      <c r="W29" s="1202">
        <f t="shared" si="56"/>
        <v>7.2163799844724109E-3</v>
      </c>
      <c r="X29" s="21">
        <f t="shared" si="57"/>
        <v>3.2362280987990421E-4</v>
      </c>
      <c r="Y29" s="23">
        <f t="shared" si="58"/>
        <v>6.7335904707604647E-3</v>
      </c>
      <c r="Z29" s="21">
        <f t="shared" si="59"/>
        <v>1.3748460913368066E-2</v>
      </c>
      <c r="AA29" s="21">
        <f t="shared" si="60"/>
        <v>2.7744457367248107E-2</v>
      </c>
      <c r="AB29" s="21">
        <f t="shared" si="61"/>
        <v>-4.2985375581955196</v>
      </c>
      <c r="AC29" s="70">
        <f t="shared" si="62"/>
        <v>3.0196131863575971E-4</v>
      </c>
      <c r="AF29" s="1168">
        <f t="shared" si="63"/>
        <v>46</v>
      </c>
      <c r="AG29" s="19">
        <f t="shared" si="63"/>
        <v>24</v>
      </c>
      <c r="AH29" s="1188">
        <f t="shared" si="63"/>
        <v>82</v>
      </c>
      <c r="AI29" s="19">
        <f t="shared" si="63"/>
        <v>1579</v>
      </c>
      <c r="AJ29" s="1100">
        <f t="shared" si="63"/>
        <v>481.2792</v>
      </c>
      <c r="AK29" s="1146">
        <f t="shared" si="64"/>
        <v>1</v>
      </c>
      <c r="AL29" s="97">
        <f t="shared" si="65"/>
        <v>1079</v>
      </c>
      <c r="AM29" s="75">
        <f t="shared" si="66"/>
        <v>0.12995412302886139</v>
      </c>
      <c r="AN29" s="75">
        <f t="shared" si="67"/>
        <v>2.9106724326071524E-3</v>
      </c>
      <c r="AO29" s="75">
        <f t="shared" si="68"/>
        <v>0.13286479546146854</v>
      </c>
      <c r="AP29" s="75">
        <f t="shared" ref="AP29:AP40" si="73" xml:space="preserve"> IF(D29="XX", "XX", AO29 +$Z$27)</f>
        <v>0.14286479546146855</v>
      </c>
      <c r="AQ29" s="12">
        <f t="shared" ref="AQ29:AQ40" si="74" xml:space="preserve"> IF(D29="XX", 0, 60 * ($AC$27 * $AN$27 * (2 * ABS(AP29)/R29)^0.5))</f>
        <v>2872.342796603119</v>
      </c>
      <c r="AR29" s="13" t="str">
        <f t="shared" si="69"/>
        <v>Infl</v>
      </c>
      <c r="AS29" s="12">
        <f t="shared" si="70"/>
        <v>-2872.342796603119</v>
      </c>
      <c r="AT29" s="98">
        <f t="shared" ref="AT29:AT40" si="75">IF(D29="XX", "XX", AS29/$O$27)</f>
        <v>-0.60394178924734165</v>
      </c>
      <c r="AU29" s="12">
        <f t="shared" si="71"/>
        <v>306618.39761902572</v>
      </c>
      <c r="AV29" s="1047">
        <f t="shared" si="72"/>
        <v>-9306.3906609941077</v>
      </c>
    </row>
    <row r="30" spans="2:48" ht="21" customHeight="1">
      <c r="B30" s="1168">
        <f>'Input-Output'!BK25</f>
        <v>45</v>
      </c>
      <c r="C30" s="19">
        <f>'Input-Output'!BL25</f>
        <v>23</v>
      </c>
      <c r="D30" s="1188">
        <f>'Input-Output'!BM25</f>
        <v>81</v>
      </c>
      <c r="E30" s="19">
        <f>'Input-Output'!BN25</f>
        <v>1569</v>
      </c>
      <c r="F30" s="19">
        <f>'Input-Output'!BO25</f>
        <v>478.2312</v>
      </c>
      <c r="G30" s="20">
        <f t="shared" si="41"/>
        <v>95.710679448095661</v>
      </c>
      <c r="H30" s="20">
        <f t="shared" si="42"/>
        <v>28.340414028300387</v>
      </c>
      <c r="I30" s="20">
        <f t="shared" si="43"/>
        <v>384.61966062446726</v>
      </c>
      <c r="J30" s="20">
        <f t="shared" si="44"/>
        <v>13.881654973936088</v>
      </c>
      <c r="K30" s="20">
        <f t="shared" si="45"/>
        <v>22.249809014514895</v>
      </c>
      <c r="L30" s="27">
        <f t="shared" si="46"/>
        <v>-23.80564</v>
      </c>
      <c r="M30" s="17">
        <f t="shared" si="47"/>
        <v>-22.501460000000002</v>
      </c>
      <c r="N30" s="22">
        <f t="shared" si="48"/>
        <v>-13.023499094832747</v>
      </c>
      <c r="O30" s="23">
        <f t="shared" si="49"/>
        <v>6.0734991043055319E-4</v>
      </c>
      <c r="P30" s="22">
        <f t="shared" si="50"/>
        <v>200.73232069629987</v>
      </c>
      <c r="Q30" s="102">
        <f t="shared" si="51"/>
        <v>11.612963131895107</v>
      </c>
      <c r="R30" s="106">
        <f t="shared" si="52"/>
        <v>8.6110666902359398E-2</v>
      </c>
      <c r="S30" s="32">
        <f t="shared" si="53"/>
        <v>-5.0753748539080359</v>
      </c>
      <c r="T30" s="24">
        <f t="shared" si="54"/>
        <v>435.89436000000001</v>
      </c>
      <c r="U30" s="66">
        <f t="shared" si="55"/>
        <v>437.19853999999998</v>
      </c>
      <c r="W30" s="1202">
        <f t="shared" si="56"/>
        <v>7.2252380014982921E-3</v>
      </c>
      <c r="X30" s="21">
        <f t="shared" si="57"/>
        <v>3.239018552620312E-4</v>
      </c>
      <c r="Y30" s="23">
        <f t="shared" si="58"/>
        <v>6.746252933251244E-3</v>
      </c>
      <c r="Z30" s="21">
        <f t="shared" si="59"/>
        <v>1.3774314783064691E-2</v>
      </c>
      <c r="AA30" s="21">
        <f t="shared" si="60"/>
        <v>2.7646799961691067E-2</v>
      </c>
      <c r="AB30" s="21">
        <f t="shared" si="61"/>
        <v>-4.3020636564085022</v>
      </c>
      <c r="AC30" s="70">
        <f t="shared" si="62"/>
        <v>3.0241888316511617E-4</v>
      </c>
      <c r="AF30" s="1168">
        <f t="shared" si="63"/>
        <v>45</v>
      </c>
      <c r="AG30" s="19">
        <f t="shared" si="63"/>
        <v>23</v>
      </c>
      <c r="AH30" s="1188">
        <f t="shared" si="63"/>
        <v>81</v>
      </c>
      <c r="AI30" s="19">
        <f t="shared" si="63"/>
        <v>1569</v>
      </c>
      <c r="AJ30" s="1100">
        <f t="shared" si="63"/>
        <v>478.2312</v>
      </c>
      <c r="AK30" s="1146">
        <f t="shared" si="64"/>
        <v>1</v>
      </c>
      <c r="AL30" s="97">
        <f t="shared" si="65"/>
        <v>1069</v>
      </c>
      <c r="AM30" s="75">
        <f t="shared" si="66"/>
        <v>0.12688353918511214</v>
      </c>
      <c r="AN30" s="75">
        <f t="shared" si="67"/>
        <v>2.8817494811479894E-3</v>
      </c>
      <c r="AO30" s="75">
        <f t="shared" si="68"/>
        <v>0.12976528866626014</v>
      </c>
      <c r="AP30" s="75">
        <f t="shared" si="73"/>
        <v>0.13976528866626015</v>
      </c>
      <c r="AQ30" s="12">
        <f t="shared" si="74"/>
        <v>2840.6053776574227</v>
      </c>
      <c r="AR30" s="13" t="str">
        <f t="shared" si="69"/>
        <v>Infl</v>
      </c>
      <c r="AS30" s="12">
        <f t="shared" si="70"/>
        <v>-2840.6053776574227</v>
      </c>
      <c r="AT30" s="98">
        <f t="shared" si="75"/>
        <v>-0.59726864647106004</v>
      </c>
      <c r="AU30" s="12">
        <f t="shared" si="71"/>
        <v>303121.25891303405</v>
      </c>
      <c r="AV30" s="1047">
        <f t="shared" si="72"/>
        <v>-9203.56142361005</v>
      </c>
    </row>
    <row r="31" spans="2:48" ht="21" customHeight="1">
      <c r="B31" s="1168">
        <f>'Input-Output'!BK26</f>
        <v>44</v>
      </c>
      <c r="C31" s="19">
        <f>'Input-Output'!BL26</f>
        <v>21</v>
      </c>
      <c r="D31" s="1188">
        <f>'Input-Output'!BM26</f>
        <v>79</v>
      </c>
      <c r="E31" s="19">
        <f>'Input-Output'!BN26</f>
        <v>1549</v>
      </c>
      <c r="F31" s="19">
        <f>'Input-Output'!BO26</f>
        <v>472.1352</v>
      </c>
      <c r="G31" s="20">
        <f t="shared" si="41"/>
        <v>95.780623889409469</v>
      </c>
      <c r="H31" s="20">
        <f t="shared" si="42"/>
        <v>28.36112492950015</v>
      </c>
      <c r="I31" s="20">
        <f t="shared" si="43"/>
        <v>384.90073696240376</v>
      </c>
      <c r="J31" s="20">
        <f t="shared" si="44"/>
        <v>13.891799553488358</v>
      </c>
      <c r="K31" s="20">
        <f t="shared" si="45"/>
        <v>22.02062643239114</v>
      </c>
      <c r="L31" s="27">
        <f t="shared" si="46"/>
        <v>-23.734439999999999</v>
      </c>
      <c r="M31" s="17">
        <f t="shared" si="47"/>
        <v>-22.454660000000001</v>
      </c>
      <c r="N31" s="22">
        <f t="shared" si="48"/>
        <v>-13.184744049207318</v>
      </c>
      <c r="O31" s="23">
        <f t="shared" si="49"/>
        <v>6.0260966695224424E-4</v>
      </c>
      <c r="P31" s="22">
        <f t="shared" si="50"/>
        <v>198.56541034348635</v>
      </c>
      <c r="Q31" s="102">
        <f t="shared" si="51"/>
        <v>11.606289820980461</v>
      </c>
      <c r="R31" s="106">
        <f t="shared" si="52"/>
        <v>8.616017826750455E-2</v>
      </c>
      <c r="S31" s="32">
        <f t="shared" si="53"/>
        <v>-5.0632470990884304</v>
      </c>
      <c r="T31" s="24">
        <f t="shared" si="54"/>
        <v>435.96555999999998</v>
      </c>
      <c r="U31" s="66">
        <f t="shared" si="55"/>
        <v>437.24534</v>
      </c>
      <c r="W31" s="1202">
        <f t="shared" si="56"/>
        <v>7.2429835174124156E-3</v>
      </c>
      <c r="X31" s="21">
        <f t="shared" si="57"/>
        <v>3.2446055194181842E-4</v>
      </c>
      <c r="Y31" s="23">
        <f t="shared" si="58"/>
        <v>6.7716424573418888E-3</v>
      </c>
      <c r="Z31" s="21">
        <f t="shared" si="59"/>
        <v>1.3826154419152602E-2</v>
      </c>
      <c r="AA31" s="21">
        <f t="shared" si="60"/>
        <v>2.7451277602019212E-2</v>
      </c>
      <c r="AB31" s="21">
        <f t="shared" si="61"/>
        <v>-4.3091609341736739</v>
      </c>
      <c r="AC31" s="70">
        <f t="shared" si="62"/>
        <v>3.0333580908911283E-4</v>
      </c>
      <c r="AF31" s="1168">
        <f t="shared" si="63"/>
        <v>44</v>
      </c>
      <c r="AG31" s="19">
        <f t="shared" si="63"/>
        <v>21</v>
      </c>
      <c r="AH31" s="1188">
        <f t="shared" si="63"/>
        <v>79</v>
      </c>
      <c r="AI31" s="19">
        <f t="shared" si="63"/>
        <v>1549</v>
      </c>
      <c r="AJ31" s="1100">
        <f t="shared" si="63"/>
        <v>472.1352</v>
      </c>
      <c r="AK31" s="1146">
        <f t="shared" si="64"/>
        <v>1</v>
      </c>
      <c r="AL31" s="97">
        <f t="shared" si="65"/>
        <v>1049</v>
      </c>
      <c r="AM31" s="75">
        <f t="shared" si="66"/>
        <v>0.12074365676533304</v>
      </c>
      <c r="AN31" s="75">
        <f t="shared" si="67"/>
        <v>2.8243116901707438E-3</v>
      </c>
      <c r="AO31" s="75">
        <f t="shared" si="68"/>
        <v>0.12356796845550379</v>
      </c>
      <c r="AP31" s="75">
        <f t="shared" si="73"/>
        <v>0.13356796845550378</v>
      </c>
      <c r="AQ31" s="12">
        <f t="shared" si="74"/>
        <v>2776.1158401980551</v>
      </c>
      <c r="AR31" s="13" t="str">
        <f t="shared" si="69"/>
        <v>Infl</v>
      </c>
      <c r="AS31" s="12">
        <f t="shared" si="70"/>
        <v>-2776.1158401980551</v>
      </c>
      <c r="AT31" s="98">
        <f t="shared" si="75"/>
        <v>-0.58370900913006984</v>
      </c>
      <c r="AU31" s="12">
        <f t="shared" si="71"/>
        <v>296026.10228565126</v>
      </c>
      <c r="AV31" s="1047">
        <f t="shared" si="72"/>
        <v>-8994.6153222416997</v>
      </c>
    </row>
    <row r="32" spans="2:48" ht="21" customHeight="1">
      <c r="B32" s="1168">
        <f>'Input-Output'!BK27</f>
        <v>43</v>
      </c>
      <c r="C32" s="19">
        <f>'Input-Output'!BL27</f>
        <v>20</v>
      </c>
      <c r="D32" s="1188">
        <f>'Input-Output'!BM27</f>
        <v>78</v>
      </c>
      <c r="E32" s="19">
        <f>'Input-Output'!BN27</f>
        <v>1539</v>
      </c>
      <c r="F32" s="19">
        <f>'Input-Output'!BO27</f>
        <v>469.0872</v>
      </c>
      <c r="G32" s="20">
        <f t="shared" si="41"/>
        <v>95.815611627528625</v>
      </c>
      <c r="H32" s="20">
        <f t="shared" si="42"/>
        <v>28.371484974898724</v>
      </c>
      <c r="I32" s="20">
        <f t="shared" si="43"/>
        <v>385.04133748931474</v>
      </c>
      <c r="J32" s="20">
        <f t="shared" si="44"/>
        <v>13.89687409388123</v>
      </c>
      <c r="K32" s="20">
        <f t="shared" si="45"/>
        <v>21.906035141329259</v>
      </c>
      <c r="L32" s="27">
        <f t="shared" si="46"/>
        <v>-23.698840000000001</v>
      </c>
      <c r="M32" s="17">
        <f t="shared" si="47"/>
        <v>-22.431260000000002</v>
      </c>
      <c r="N32" s="22">
        <f t="shared" si="48"/>
        <v>-13.265879664419046</v>
      </c>
      <c r="O32" s="23">
        <f t="shared" si="49"/>
        <v>6.002397898186994E-4</v>
      </c>
      <c r="P32" s="22">
        <f t="shared" si="50"/>
        <v>197.48634555600319</v>
      </c>
      <c r="Q32" s="102">
        <f t="shared" si="51"/>
        <v>11.60295493373625</v>
      </c>
      <c r="R32" s="106">
        <f t="shared" si="52"/>
        <v>8.6184942173001405E-2</v>
      </c>
      <c r="S32" s="32">
        <f t="shared" si="53"/>
        <v>-5.0571830771151625</v>
      </c>
      <c r="T32" s="24">
        <f t="shared" si="54"/>
        <v>436.00115999999997</v>
      </c>
      <c r="U32" s="66">
        <f t="shared" si="55"/>
        <v>437.26873999999998</v>
      </c>
      <c r="W32" s="1202">
        <f t="shared" si="56"/>
        <v>7.2518710356213002E-3</v>
      </c>
      <c r="X32" s="21">
        <f t="shared" si="57"/>
        <v>3.247402034676543E-4</v>
      </c>
      <c r="Y32" s="23">
        <f t="shared" si="58"/>
        <v>6.7843695838597506E-3</v>
      </c>
      <c r="Z32" s="21">
        <f t="shared" si="59"/>
        <v>1.3852140318091679E-2</v>
      </c>
      <c r="AA32" s="21">
        <f t="shared" si="60"/>
        <v>2.7353412604175769E-2</v>
      </c>
      <c r="AB32" s="21">
        <f t="shared" si="61"/>
        <v>-4.3127323475507948</v>
      </c>
      <c r="AC32" s="70">
        <f t="shared" si="62"/>
        <v>3.0379517177543235E-4</v>
      </c>
      <c r="AF32" s="1168">
        <f t="shared" si="63"/>
        <v>43</v>
      </c>
      <c r="AG32" s="19">
        <f t="shared" si="63"/>
        <v>20</v>
      </c>
      <c r="AH32" s="1188">
        <f t="shared" si="63"/>
        <v>78</v>
      </c>
      <c r="AI32" s="19">
        <f t="shared" si="63"/>
        <v>1539</v>
      </c>
      <c r="AJ32" s="1100">
        <f t="shared" si="63"/>
        <v>469.0872</v>
      </c>
      <c r="AK32" s="1146">
        <f t="shared" si="64"/>
        <v>1</v>
      </c>
      <c r="AL32" s="97">
        <f t="shared" si="65"/>
        <v>1039</v>
      </c>
      <c r="AM32" s="75">
        <f t="shared" si="66"/>
        <v>0.11767436081087854</v>
      </c>
      <c r="AN32" s="75">
        <f t="shared" si="67"/>
        <v>2.79579710312667E-3</v>
      </c>
      <c r="AO32" s="75">
        <f t="shared" si="68"/>
        <v>0.12047015791400521</v>
      </c>
      <c r="AP32" s="75">
        <f t="shared" si="73"/>
        <v>0.13047015791400521</v>
      </c>
      <c r="AQ32" s="12">
        <f t="shared" si="74"/>
        <v>2743.3398685532038</v>
      </c>
      <c r="AR32" s="13" t="str">
        <f t="shared" si="69"/>
        <v>Infl</v>
      </c>
      <c r="AS32" s="12">
        <f t="shared" si="70"/>
        <v>-2743.3398685532038</v>
      </c>
      <c r="AT32" s="98">
        <f t="shared" si="75"/>
        <v>-0.57681749918114555</v>
      </c>
      <c r="AU32" s="12">
        <f t="shared" si="71"/>
        <v>292425.61977211002</v>
      </c>
      <c r="AV32" s="1047">
        <f t="shared" si="72"/>
        <v>-8888.42117411238</v>
      </c>
    </row>
    <row r="33" spans="2:48" ht="21" customHeight="1">
      <c r="B33" s="1168">
        <f>'Input-Output'!BK28</f>
        <v>42</v>
      </c>
      <c r="C33" s="19">
        <f>'Input-Output'!BL28</f>
        <v>18</v>
      </c>
      <c r="D33" s="1188">
        <f>'Input-Output'!BM28</f>
        <v>76</v>
      </c>
      <c r="E33" s="19">
        <f>'Input-Output'!BN28</f>
        <v>1519</v>
      </c>
      <c r="F33" s="19">
        <f>'Input-Output'!BO28</f>
        <v>462.99120000000005</v>
      </c>
      <c r="G33" s="20">
        <f t="shared" si="41"/>
        <v>95.885618150395715</v>
      </c>
      <c r="H33" s="20">
        <f t="shared" si="42"/>
        <v>28.392214258758951</v>
      </c>
      <c r="I33" s="20">
        <f t="shared" si="43"/>
        <v>385.32266330605643</v>
      </c>
      <c r="J33" s="20">
        <f t="shared" si="44"/>
        <v>13.907027677598007</v>
      </c>
      <c r="K33" s="20">
        <f t="shared" si="45"/>
        <v>21.6768525592055</v>
      </c>
      <c r="L33" s="27">
        <f t="shared" si="46"/>
        <v>-23.62764</v>
      </c>
      <c r="M33" s="17">
        <f t="shared" si="47"/>
        <v>-22.384460000000001</v>
      </c>
      <c r="N33" s="22">
        <f t="shared" si="48"/>
        <v>-13.429190737727566</v>
      </c>
      <c r="O33" s="23">
        <f t="shared" si="49"/>
        <v>5.9550052531500428E-4</v>
      </c>
      <c r="P33" s="22">
        <f t="shared" si="50"/>
        <v>195.3369605388753</v>
      </c>
      <c r="Q33" s="102">
        <f t="shared" si="51"/>
        <v>11.596288693217481</v>
      </c>
      <c r="R33" s="106">
        <f t="shared" si="52"/>
        <v>8.62344864339991E-2</v>
      </c>
      <c r="S33" s="32">
        <f t="shared" si="53"/>
        <v>-5.0450547434229671</v>
      </c>
      <c r="T33" s="24">
        <f t="shared" si="54"/>
        <v>436.07236</v>
      </c>
      <c r="U33" s="66">
        <f t="shared" si="55"/>
        <v>437.31554</v>
      </c>
      <c r="W33" s="1202">
        <f t="shared" si="56"/>
        <v>7.2696756409062454E-3</v>
      </c>
      <c r="X33" s="21">
        <f t="shared" si="57"/>
        <v>3.2530011346199126E-4</v>
      </c>
      <c r="Y33" s="23">
        <f t="shared" si="58"/>
        <v>6.8098887284519637E-3</v>
      </c>
      <c r="Z33" s="21">
        <f t="shared" si="59"/>
        <v>1.3904244609775608E-2</v>
      </c>
      <c r="AA33" s="21">
        <f t="shared" si="60"/>
        <v>2.7157474863178654E-2</v>
      </c>
      <c r="AB33" s="21">
        <f t="shared" si="61"/>
        <v>-4.3199213181935301</v>
      </c>
      <c r="AC33" s="70">
        <f t="shared" si="62"/>
        <v>3.0471569982983812E-4</v>
      </c>
      <c r="AF33" s="1168">
        <f t="shared" si="63"/>
        <v>42</v>
      </c>
      <c r="AG33" s="19">
        <f t="shared" si="63"/>
        <v>18</v>
      </c>
      <c r="AH33" s="1188">
        <f t="shared" si="63"/>
        <v>76</v>
      </c>
      <c r="AI33" s="19">
        <f t="shared" si="63"/>
        <v>1519</v>
      </c>
      <c r="AJ33" s="1100">
        <f t="shared" si="63"/>
        <v>462.99120000000005</v>
      </c>
      <c r="AK33" s="1146">
        <f t="shared" si="64"/>
        <v>1</v>
      </c>
      <c r="AL33" s="97">
        <f t="shared" si="65"/>
        <v>1019</v>
      </c>
      <c r="AM33" s="75">
        <f t="shared" si="66"/>
        <v>0.11153706597219959</v>
      </c>
      <c r="AN33" s="75">
        <f t="shared" si="67"/>
        <v>2.7391771775421071E-3</v>
      </c>
      <c r="AO33" s="75">
        <f t="shared" si="68"/>
        <v>0.11427624314974169</v>
      </c>
      <c r="AP33" s="75">
        <f t="shared" si="73"/>
        <v>0.12427624314974169</v>
      </c>
      <c r="AQ33" s="12">
        <f t="shared" si="74"/>
        <v>2676.6604738795163</v>
      </c>
      <c r="AR33" s="13" t="str">
        <f t="shared" si="69"/>
        <v>Infl</v>
      </c>
      <c r="AS33" s="12">
        <f t="shared" si="70"/>
        <v>-2676.6604738795163</v>
      </c>
      <c r="AT33" s="98">
        <f t="shared" si="75"/>
        <v>-0.56279742018055368</v>
      </c>
      <c r="AU33" s="12">
        <f t="shared" si="71"/>
        <v>285112.12206961983</v>
      </c>
      <c r="AV33" s="1047">
        <f t="shared" si="72"/>
        <v>-8672.379935369634</v>
      </c>
    </row>
    <row r="34" spans="2:48" ht="21" customHeight="1">
      <c r="B34" s="1168">
        <f>'Input-Output'!BK29</f>
        <v>41</v>
      </c>
      <c r="C34" s="19">
        <f>'Input-Output'!BL29</f>
        <v>16</v>
      </c>
      <c r="D34" s="1188">
        <f>'Input-Output'!BM29</f>
        <v>74</v>
      </c>
      <c r="E34" s="19">
        <f>'Input-Output'!BN29</f>
        <v>1499</v>
      </c>
      <c r="F34" s="19">
        <f>'Input-Output'!BO29</f>
        <v>456.89520000000005</v>
      </c>
      <c r="G34" s="20">
        <f t="shared" si="41"/>
        <v>95.95566608437791</v>
      </c>
      <c r="H34" s="20">
        <f t="shared" si="42"/>
        <v>28.412955804658843</v>
      </c>
      <c r="I34" s="20">
        <f t="shared" si="43"/>
        <v>385.60415553608794</v>
      </c>
      <c r="J34" s="20">
        <f t="shared" si="44"/>
        <v>13.917187267486879</v>
      </c>
      <c r="K34" s="20">
        <f t="shared" si="45"/>
        <v>21.447669977081741</v>
      </c>
      <c r="L34" s="27">
        <f t="shared" si="46"/>
        <v>-23.556439999999998</v>
      </c>
      <c r="M34" s="17">
        <f t="shared" si="47"/>
        <v>-22.33766</v>
      </c>
      <c r="N34" s="22">
        <f t="shared" si="48"/>
        <v>-13.593906739869146</v>
      </c>
      <c r="O34" s="23">
        <f t="shared" si="49"/>
        <v>5.9076191456581585E-4</v>
      </c>
      <c r="P34" s="22">
        <f t="shared" si="50"/>
        <v>193.19918684897812</v>
      </c>
      <c r="Q34" s="102">
        <f t="shared" si="51"/>
        <v>11.589627161385534</v>
      </c>
      <c r="R34" s="106">
        <f t="shared" si="52"/>
        <v>8.6284052633877006E-2</v>
      </c>
      <c r="S34" s="32">
        <f t="shared" si="53"/>
        <v>-5.0329260225777395</v>
      </c>
      <c r="T34" s="24">
        <f t="shared" si="54"/>
        <v>436.14355999999998</v>
      </c>
      <c r="U34" s="66">
        <f t="shared" si="55"/>
        <v>437.36234000000002</v>
      </c>
      <c r="W34" s="1202">
        <f t="shared" si="56"/>
        <v>7.2875197359265316E-3</v>
      </c>
      <c r="X34" s="21">
        <f t="shared" si="57"/>
        <v>3.2586083347469559E-4</v>
      </c>
      <c r="Y34" s="23">
        <f t="shared" si="58"/>
        <v>6.8354946124269053E-3</v>
      </c>
      <c r="Z34" s="21">
        <f t="shared" si="59"/>
        <v>1.3956526003559563E-2</v>
      </c>
      <c r="AA34" s="21">
        <f t="shared" si="60"/>
        <v>2.6961259982744869E-2</v>
      </c>
      <c r="AB34" s="21">
        <f t="shared" si="61"/>
        <v>-4.3271726237077219</v>
      </c>
      <c r="AC34" s="70">
        <f t="shared" si="62"/>
        <v>3.0563863577683938E-4</v>
      </c>
      <c r="AF34" s="1168">
        <f t="shared" si="63"/>
        <v>41</v>
      </c>
      <c r="AG34" s="19">
        <f t="shared" si="63"/>
        <v>16</v>
      </c>
      <c r="AH34" s="1188">
        <f t="shared" si="63"/>
        <v>74</v>
      </c>
      <c r="AI34" s="19">
        <f t="shared" si="63"/>
        <v>1499</v>
      </c>
      <c r="AJ34" s="1100">
        <f t="shared" si="63"/>
        <v>456.89520000000005</v>
      </c>
      <c r="AK34" s="1146">
        <f t="shared" si="64"/>
        <v>1</v>
      </c>
      <c r="AL34" s="97">
        <f t="shared" si="65"/>
        <v>999</v>
      </c>
      <c r="AM34" s="75">
        <f t="shared" si="66"/>
        <v>0.10540150931474553</v>
      </c>
      <c r="AN34" s="75">
        <f t="shared" si="67"/>
        <v>2.6831037594499687E-3</v>
      </c>
      <c r="AO34" s="75">
        <f t="shared" si="68"/>
        <v>0.10808461307419549</v>
      </c>
      <c r="AP34" s="75">
        <f t="shared" si="73"/>
        <v>0.11808461307419549</v>
      </c>
      <c r="AQ34" s="12">
        <f t="shared" si="74"/>
        <v>2608.3814696401851</v>
      </c>
      <c r="AR34" s="13" t="str">
        <f t="shared" si="69"/>
        <v>Infl</v>
      </c>
      <c r="AS34" s="12">
        <f t="shared" si="70"/>
        <v>-2608.3814696401851</v>
      </c>
      <c r="AT34" s="98">
        <f t="shared" si="75"/>
        <v>-0.54844100560597875</v>
      </c>
      <c r="AU34" s="12">
        <f t="shared" si="71"/>
        <v>277638.61515448109</v>
      </c>
      <c r="AV34" s="1047">
        <f t="shared" si="72"/>
        <v>-8451.1559616342001</v>
      </c>
    </row>
    <row r="35" spans="2:48" ht="21" customHeight="1">
      <c r="B35" s="1168">
        <f>'Input-Output'!BK30</f>
        <v>40</v>
      </c>
      <c r="C35" s="19">
        <f>'Input-Output'!BL30</f>
        <v>13</v>
      </c>
      <c r="D35" s="1188">
        <f>'Input-Output'!BM30</f>
        <v>71</v>
      </c>
      <c r="E35" s="19">
        <f>'Input-Output'!BN30</f>
        <v>1469</v>
      </c>
      <c r="F35" s="19">
        <f>'Input-Output'!BO30</f>
        <v>447.75120000000004</v>
      </c>
      <c r="G35" s="20">
        <f t="shared" si="41"/>
        <v>96.060815672180752</v>
      </c>
      <c r="H35" s="20">
        <f t="shared" si="42"/>
        <v>28.444091126970015</v>
      </c>
      <c r="I35" s="20">
        <f t="shared" si="43"/>
        <v>386.02670607076954</v>
      </c>
      <c r="J35" s="20">
        <f t="shared" si="44"/>
        <v>13.932437919837772</v>
      </c>
      <c r="K35" s="20">
        <f t="shared" si="45"/>
        <v>21.103896103896105</v>
      </c>
      <c r="L35" s="27">
        <f t="shared" si="46"/>
        <v>-23.449639999999999</v>
      </c>
      <c r="M35" s="17">
        <f t="shared" si="47"/>
        <v>-22.26746</v>
      </c>
      <c r="N35" s="22">
        <f t="shared" si="48"/>
        <v>-13.843664657724601</v>
      </c>
      <c r="O35" s="23">
        <f t="shared" si="49"/>
        <v>5.8365522616689043E-4</v>
      </c>
      <c r="P35" s="22">
        <f t="shared" si="50"/>
        <v>190.01417196141702</v>
      </c>
      <c r="Q35" s="102">
        <f t="shared" si="51"/>
        <v>11.579643683842956</v>
      </c>
      <c r="R35" s="106">
        <f t="shared" si="52"/>
        <v>8.6358443083641434E-2</v>
      </c>
      <c r="S35" s="32">
        <f t="shared" si="53"/>
        <v>-5.0147322132292818</v>
      </c>
      <c r="T35" s="24">
        <f t="shared" si="54"/>
        <v>436.25036</v>
      </c>
      <c r="U35" s="66">
        <f t="shared" si="55"/>
        <v>437.43254000000002</v>
      </c>
      <c r="W35" s="1202">
        <f t="shared" si="56"/>
        <v>7.314360091519318E-3</v>
      </c>
      <c r="X35" s="21">
        <f t="shared" si="57"/>
        <v>3.2670343427861732E-4</v>
      </c>
      <c r="Y35" s="23">
        <f t="shared" si="58"/>
        <v>6.8740666466446249E-3</v>
      </c>
      <c r="Z35" s="21">
        <f t="shared" si="59"/>
        <v>1.4035281328388743E-2</v>
      </c>
      <c r="AA35" s="21">
        <f t="shared" si="60"/>
        <v>2.6666417643336833E-2</v>
      </c>
      <c r="AB35" s="21">
        <f t="shared" si="61"/>
        <v>-4.3381686363374863</v>
      </c>
      <c r="AC35" s="70">
        <f t="shared" si="62"/>
        <v>3.0702756584612259E-4</v>
      </c>
      <c r="AF35" s="1168">
        <f t="shared" si="63"/>
        <v>40</v>
      </c>
      <c r="AG35" s="19">
        <f t="shared" si="63"/>
        <v>13</v>
      </c>
      <c r="AH35" s="1188">
        <f t="shared" si="63"/>
        <v>71</v>
      </c>
      <c r="AI35" s="19">
        <f t="shared" si="63"/>
        <v>1469</v>
      </c>
      <c r="AJ35" s="1100">
        <f t="shared" si="63"/>
        <v>447.75120000000004</v>
      </c>
      <c r="AK35" s="1146">
        <f t="shared" si="64"/>
        <v>1</v>
      </c>
      <c r="AL35" s="97">
        <f t="shared" si="65"/>
        <v>969</v>
      </c>
      <c r="AM35" s="75">
        <f t="shared" si="66"/>
        <v>9.6201456423595622E-2</v>
      </c>
      <c r="AN35" s="75">
        <f t="shared" si="67"/>
        <v>2.6000205482710867E-3</v>
      </c>
      <c r="AO35" s="75">
        <f t="shared" si="68"/>
        <v>9.8801476971866711E-2</v>
      </c>
      <c r="AP35" s="75">
        <f t="shared" si="73"/>
        <v>0.10880147697186671</v>
      </c>
      <c r="AQ35" s="12">
        <f t="shared" si="74"/>
        <v>2502.6764778221677</v>
      </c>
      <c r="AR35" s="13" t="str">
        <f t="shared" si="69"/>
        <v>Infl</v>
      </c>
      <c r="AS35" s="12">
        <f t="shared" si="70"/>
        <v>-2502.6764778221677</v>
      </c>
      <c r="AT35" s="98">
        <f t="shared" si="75"/>
        <v>-0.52621536388715362</v>
      </c>
      <c r="AU35" s="12">
        <f t="shared" si="71"/>
        <v>266098.60614030529</v>
      </c>
      <c r="AV35" s="1047">
        <f t="shared" si="72"/>
        <v>-8108.6717881438244</v>
      </c>
    </row>
    <row r="36" spans="2:48" ht="21" customHeight="1">
      <c r="B36" s="1168">
        <f>'Input-Output'!BK31</f>
        <v>39</v>
      </c>
      <c r="C36" s="19">
        <f>'Input-Output'!BL31</f>
        <v>10</v>
      </c>
      <c r="D36" s="1188">
        <f>'Input-Output'!BM31</f>
        <v>68</v>
      </c>
      <c r="E36" s="19">
        <f>'Input-Output'!BN31</f>
        <v>1439</v>
      </c>
      <c r="F36" s="19">
        <f>'Input-Output'!BO31</f>
        <v>438.60720000000003</v>
      </c>
      <c r="G36" s="20">
        <f t="shared" si="41"/>
        <v>96.16605854041471</v>
      </c>
      <c r="H36" s="20">
        <f t="shared" si="42"/>
        <v>28.47525407008645</v>
      </c>
      <c r="I36" s="20">
        <f t="shared" si="43"/>
        <v>386.44963145899902</v>
      </c>
      <c r="J36" s="20">
        <f t="shared" si="44"/>
        <v>13.947702101366056</v>
      </c>
      <c r="K36" s="20">
        <f t="shared" si="45"/>
        <v>20.760122230710465</v>
      </c>
      <c r="L36" s="27">
        <f t="shared" si="46"/>
        <v>-23.342839999999999</v>
      </c>
      <c r="M36" s="17">
        <f t="shared" si="47"/>
        <v>-22.19726</v>
      </c>
      <c r="N36" s="22">
        <f t="shared" si="48"/>
        <v>-14.096713501295763</v>
      </c>
      <c r="O36" s="23">
        <f t="shared" si="49"/>
        <v>5.7655001369405403E-4</v>
      </c>
      <c r="P36" s="22">
        <f t="shared" si="50"/>
        <v>186.85496068018864</v>
      </c>
      <c r="Q36" s="102">
        <f t="shared" si="51"/>
        <v>11.569670778790643</v>
      </c>
      <c r="R36" s="106">
        <f t="shared" si="52"/>
        <v>8.6432882933297109E-2</v>
      </c>
      <c r="S36" s="32">
        <f t="shared" si="53"/>
        <v>-4.9965375272070247</v>
      </c>
      <c r="T36" s="24">
        <f t="shared" si="54"/>
        <v>436.35715999999996</v>
      </c>
      <c r="U36" s="66">
        <f t="shared" si="55"/>
        <v>437.50274000000002</v>
      </c>
      <c r="W36" s="1202">
        <f t="shared" si="56"/>
        <v>7.3412897361588127E-3</v>
      </c>
      <c r="X36" s="21">
        <f t="shared" si="57"/>
        <v>3.2754786277028862E-4</v>
      </c>
      <c r="Y36" s="23">
        <f t="shared" si="58"/>
        <v>6.9128353176505595E-3</v>
      </c>
      <c r="Z36" s="21">
        <f t="shared" si="59"/>
        <v>1.4114438140835659E-2</v>
      </c>
      <c r="AA36" s="21">
        <f t="shared" si="60"/>
        <v>2.6370950757306926E-2</v>
      </c>
      <c r="AB36" s="21">
        <f t="shared" si="61"/>
        <v>-4.3493105897041575</v>
      </c>
      <c r="AC36" s="70">
        <f t="shared" si="62"/>
        <v>3.0842194289126167E-4</v>
      </c>
      <c r="AF36" s="1168">
        <f t="shared" si="63"/>
        <v>39</v>
      </c>
      <c r="AG36" s="19">
        <f t="shared" si="63"/>
        <v>10</v>
      </c>
      <c r="AH36" s="1188">
        <f t="shared" si="63"/>
        <v>68</v>
      </c>
      <c r="AI36" s="19">
        <f t="shared" si="63"/>
        <v>1439</v>
      </c>
      <c r="AJ36" s="1100">
        <f t="shared" si="63"/>
        <v>438.60720000000003</v>
      </c>
      <c r="AK36" s="1146">
        <f t="shared" si="64"/>
        <v>1</v>
      </c>
      <c r="AL36" s="97">
        <f t="shared" si="65"/>
        <v>939</v>
      </c>
      <c r="AM36" s="75">
        <f t="shared" si="66"/>
        <v>8.7005373639963829E-2</v>
      </c>
      <c r="AN36" s="75">
        <f t="shared" si="67"/>
        <v>2.5181726765907513E-3</v>
      </c>
      <c r="AO36" s="75">
        <f t="shared" si="68"/>
        <v>8.9523546316554584E-2</v>
      </c>
      <c r="AP36" s="75">
        <f t="shared" si="73"/>
        <v>9.9523546316554579E-2</v>
      </c>
      <c r="AQ36" s="12">
        <f t="shared" si="74"/>
        <v>2392.5616668333601</v>
      </c>
      <c r="AR36" s="13" t="str">
        <f t="shared" si="69"/>
        <v>Infl</v>
      </c>
      <c r="AS36" s="12">
        <f t="shared" si="70"/>
        <v>-2392.5616668333601</v>
      </c>
      <c r="AT36" s="98">
        <f t="shared" si="75"/>
        <v>-0.5030625089946732</v>
      </c>
      <c r="AU36" s="12">
        <f t="shared" si="71"/>
        <v>254114.61392684857</v>
      </c>
      <c r="AV36" s="1047">
        <f t="shared" si="72"/>
        <v>-7751.8998005400881</v>
      </c>
    </row>
    <row r="37" spans="2:48" ht="21" customHeight="1">
      <c r="B37" s="1168">
        <f>'Input-Output'!BK32</f>
        <v>38</v>
      </c>
      <c r="C37" s="19">
        <f>'Input-Output'!BL32</f>
        <v>7</v>
      </c>
      <c r="D37" s="1188">
        <f>'Input-Output'!BM32</f>
        <v>65</v>
      </c>
      <c r="E37" s="19">
        <f>'Input-Output'!BN32</f>
        <v>1409</v>
      </c>
      <c r="F37" s="19">
        <f>'Input-Output'!BO32</f>
        <v>429.46320000000003</v>
      </c>
      <c r="G37" s="20">
        <f t="shared" si="41"/>
        <v>96.27139475237189</v>
      </c>
      <c r="H37" s="20">
        <f t="shared" si="42"/>
        <v>28.506444652749256</v>
      </c>
      <c r="I37" s="20">
        <f t="shared" si="43"/>
        <v>386.87293195511978</v>
      </c>
      <c r="J37" s="20">
        <f t="shared" si="44"/>
        <v>13.962979821251475</v>
      </c>
      <c r="K37" s="20">
        <f t="shared" si="45"/>
        <v>20.416348357524829</v>
      </c>
      <c r="L37" s="27">
        <f t="shared" si="46"/>
        <v>-23.236039999999999</v>
      </c>
      <c r="M37" s="17">
        <f t="shared" si="47"/>
        <v>-22.12706</v>
      </c>
      <c r="N37" s="22">
        <f t="shared" si="48"/>
        <v>-14.353134995187036</v>
      </c>
      <c r="O37" s="23">
        <f t="shared" si="49"/>
        <v>5.6944628013853697E-4</v>
      </c>
      <c r="P37" s="22">
        <f t="shared" si="50"/>
        <v>183.72136175274062</v>
      </c>
      <c r="Q37" s="102">
        <f t="shared" si="51"/>
        <v>11.559708433020512</v>
      </c>
      <c r="R37" s="106">
        <f t="shared" si="52"/>
        <v>8.6507372205295613E-2</v>
      </c>
      <c r="S37" s="32">
        <f t="shared" si="53"/>
        <v>-4.9783419611581703</v>
      </c>
      <c r="T37" s="24">
        <f t="shared" si="54"/>
        <v>436.46395999999999</v>
      </c>
      <c r="U37" s="66">
        <f t="shared" si="55"/>
        <v>437.57294000000002</v>
      </c>
      <c r="W37" s="1202">
        <f t="shared" si="56"/>
        <v>7.3683089329988774E-3</v>
      </c>
      <c r="X37" s="21">
        <f t="shared" si="57"/>
        <v>3.2839412204197047E-4</v>
      </c>
      <c r="Y37" s="23">
        <f t="shared" si="58"/>
        <v>6.9518015138442819E-3</v>
      </c>
      <c r="Z37" s="21">
        <f t="shared" si="59"/>
        <v>1.4193998254810264E-2</v>
      </c>
      <c r="AA37" s="21">
        <f t="shared" si="60"/>
        <v>2.607485873528282E-2</v>
      </c>
      <c r="AB37" s="21">
        <f t="shared" si="61"/>
        <v>-4.360602060683199</v>
      </c>
      <c r="AC37" s="70">
        <f t="shared" si="62"/>
        <v>3.098217844981193E-4</v>
      </c>
      <c r="AF37" s="1168">
        <f t="shared" si="63"/>
        <v>38</v>
      </c>
      <c r="AG37" s="19">
        <f t="shared" si="63"/>
        <v>7</v>
      </c>
      <c r="AH37" s="1188">
        <f t="shared" si="63"/>
        <v>65</v>
      </c>
      <c r="AI37" s="19">
        <f t="shared" si="63"/>
        <v>1409</v>
      </c>
      <c r="AJ37" s="1100">
        <f t="shared" si="63"/>
        <v>429.46320000000003</v>
      </c>
      <c r="AK37" s="1146">
        <f t="shared" si="64"/>
        <v>1</v>
      </c>
      <c r="AL37" s="97">
        <f t="shared" si="65"/>
        <v>909</v>
      </c>
      <c r="AM37" s="75">
        <f t="shared" si="66"/>
        <v>7.7813296560315839E-2</v>
      </c>
      <c r="AN37" s="75">
        <f t="shared" si="67"/>
        <v>2.4375635690605264E-3</v>
      </c>
      <c r="AO37" s="75">
        <f t="shared" si="68"/>
        <v>8.0250860129376364E-2</v>
      </c>
      <c r="AP37" s="75">
        <f t="shared" si="73"/>
        <v>9.0250860129376359E-2</v>
      </c>
      <c r="AQ37" s="12">
        <f t="shared" si="74"/>
        <v>2277.3974667092748</v>
      </c>
      <c r="AR37" s="13" t="str">
        <f t="shared" si="69"/>
        <v>Infl</v>
      </c>
      <c r="AS37" s="12">
        <f t="shared" si="70"/>
        <v>-2277.3974667092748</v>
      </c>
      <c r="AT37" s="98">
        <f t="shared" si="75"/>
        <v>-0.47884796428140541</v>
      </c>
      <c r="AU37" s="12">
        <f t="shared" si="71"/>
        <v>241620.3093263951</v>
      </c>
      <c r="AV37" s="1047">
        <f t="shared" si="72"/>
        <v>-7378.7677921380509</v>
      </c>
    </row>
    <row r="38" spans="2:48" ht="21" customHeight="1">
      <c r="B38" s="1168">
        <f>'Input-Output'!BK33</f>
        <v>37</v>
      </c>
      <c r="C38" s="19">
        <f>'Input-Output'!BL33</f>
        <v>5</v>
      </c>
      <c r="D38" s="1188">
        <f>'Input-Output'!BM33</f>
        <v>63</v>
      </c>
      <c r="E38" s="19">
        <f>'Input-Output'!BN33</f>
        <v>1389</v>
      </c>
      <c r="F38" s="19">
        <f>'Input-Output'!BO33</f>
        <v>423.36720000000003</v>
      </c>
      <c r="G38" s="20">
        <f t="shared" si="41"/>
        <v>96.341670782569636</v>
      </c>
      <c r="H38" s="20">
        <f t="shared" si="42"/>
        <v>28.527253739086895</v>
      </c>
      <c r="I38" s="20">
        <f t="shared" si="43"/>
        <v>387.15534080479631</v>
      </c>
      <c r="J38" s="20">
        <f t="shared" si="44"/>
        <v>13.973172493686446</v>
      </c>
      <c r="K38" s="20">
        <f t="shared" si="45"/>
        <v>20.18716577540107</v>
      </c>
      <c r="L38" s="27">
        <f t="shared" si="46"/>
        <v>-23.164839999999998</v>
      </c>
      <c r="M38" s="17">
        <f t="shared" si="47"/>
        <v>-22.080259999999999</v>
      </c>
      <c r="N38" s="22">
        <f t="shared" si="48"/>
        <v>-14.525998111122439</v>
      </c>
      <c r="O38" s="23">
        <f t="shared" si="49"/>
        <v>5.6471128086752647E-4</v>
      </c>
      <c r="P38" s="22">
        <f t="shared" si="50"/>
        <v>181.64643108549316</v>
      </c>
      <c r="Q38" s="102">
        <f t="shared" si="51"/>
        <v>11.55307272892775</v>
      </c>
      <c r="R38" s="106">
        <f t="shared" si="52"/>
        <v>8.6557059187907556E-2</v>
      </c>
      <c r="S38" s="32">
        <f t="shared" si="53"/>
        <v>-4.9662110932311201</v>
      </c>
      <c r="T38" s="24">
        <f t="shared" si="54"/>
        <v>436.53516000000002</v>
      </c>
      <c r="U38" s="66">
        <f t="shared" si="55"/>
        <v>437.61973999999998</v>
      </c>
      <c r="W38" s="1202">
        <f t="shared" si="56"/>
        <v>7.3863716123693437E-3</v>
      </c>
      <c r="X38" s="21">
        <f t="shared" si="57"/>
        <v>3.2895931351834261E-4</v>
      </c>
      <c r="Y38" s="23">
        <f t="shared" si="58"/>
        <v>6.977889154467916E-3</v>
      </c>
      <c r="Z38" s="21">
        <f t="shared" si="59"/>
        <v>1.4247263286147331E-2</v>
      </c>
      <c r="AA38" s="21">
        <f t="shared" si="60"/>
        <v>2.5877116465237552E-2</v>
      </c>
      <c r="AB38" s="21">
        <f t="shared" si="61"/>
        <v>-4.3682145999263708</v>
      </c>
      <c r="AC38" s="70">
        <f t="shared" si="62"/>
        <v>3.1075805680722836E-4</v>
      </c>
      <c r="AF38" s="1168">
        <f t="shared" si="63"/>
        <v>37</v>
      </c>
      <c r="AG38" s="19">
        <f t="shared" si="63"/>
        <v>5</v>
      </c>
      <c r="AH38" s="1188">
        <f t="shared" si="63"/>
        <v>63</v>
      </c>
      <c r="AI38" s="19">
        <f t="shared" si="63"/>
        <v>1389</v>
      </c>
      <c r="AJ38" s="1100">
        <f t="shared" si="63"/>
        <v>423.36720000000003</v>
      </c>
      <c r="AK38" s="1146">
        <f t="shared" si="64"/>
        <v>1</v>
      </c>
      <c r="AL38" s="97">
        <f t="shared" si="65"/>
        <v>889</v>
      </c>
      <c r="AM38" s="75">
        <f t="shared" si="66"/>
        <v>7.1687488170075628E-2</v>
      </c>
      <c r="AN38" s="75">
        <f t="shared" si="67"/>
        <v>2.384514059637452E-3</v>
      </c>
      <c r="AO38" s="75">
        <f t="shared" si="68"/>
        <v>7.407200222971308E-2</v>
      </c>
      <c r="AP38" s="75">
        <f t="shared" si="73"/>
        <v>8.4072002229713075E-2</v>
      </c>
      <c r="AQ38" s="12">
        <f t="shared" si="74"/>
        <v>2197.425536955488</v>
      </c>
      <c r="AR38" s="13" t="str">
        <f t="shared" si="69"/>
        <v>Infl</v>
      </c>
      <c r="AS38" s="12">
        <f t="shared" si="70"/>
        <v>-2197.425536955488</v>
      </c>
      <c r="AT38" s="98">
        <f t="shared" si="75"/>
        <v>-0.46203298300473356</v>
      </c>
      <c r="AU38" s="12">
        <f t="shared" si="71"/>
        <v>232966.72034692153</v>
      </c>
      <c r="AV38" s="1047">
        <f t="shared" si="72"/>
        <v>-7119.6587397357816</v>
      </c>
    </row>
    <row r="39" spans="2:48" ht="21" customHeight="1">
      <c r="B39" s="1168">
        <f>'Input-Output'!BK34</f>
        <v>36</v>
      </c>
      <c r="C39" s="19">
        <f>'Input-Output'!BL34</f>
        <v>3</v>
      </c>
      <c r="D39" s="1188">
        <f>'Input-Output'!BM34</f>
        <v>61</v>
      </c>
      <c r="E39" s="19">
        <f>'Input-Output'!BN34</f>
        <v>1369</v>
      </c>
      <c r="F39" s="19">
        <f>'Input-Output'!BO34</f>
        <v>417.27120000000002</v>
      </c>
      <c r="G39" s="20">
        <f t="shared" si="41"/>
        <v>96.411988345778411</v>
      </c>
      <c r="H39" s="20">
        <f t="shared" si="42"/>
        <v>28.548075123558192</v>
      </c>
      <c r="I39" s="20">
        <f t="shared" si="43"/>
        <v>387.43791655760936</v>
      </c>
      <c r="J39" s="20">
        <f t="shared" si="44"/>
        <v>13.983371189973013</v>
      </c>
      <c r="K39" s="20">
        <f t="shared" si="45"/>
        <v>19.957983193277311</v>
      </c>
      <c r="L39" s="27">
        <f t="shared" si="46"/>
        <v>-23.093640000000001</v>
      </c>
      <c r="M39" s="17">
        <f t="shared" si="47"/>
        <v>-22.033460000000002</v>
      </c>
      <c r="N39" s="22">
        <f t="shared" si="48"/>
        <v>-14.70042375163951</v>
      </c>
      <c r="O39" s="23">
        <f t="shared" si="49"/>
        <v>5.599769411119218E-4</v>
      </c>
      <c r="P39" s="22">
        <f t="shared" si="50"/>
        <v>179.58274339250804</v>
      </c>
      <c r="Q39" s="102">
        <f t="shared" si="51"/>
        <v>11.546441708083973</v>
      </c>
      <c r="R39" s="106">
        <f t="shared" si="52"/>
        <v>8.6606768152639887E-2</v>
      </c>
      <c r="S39" s="32">
        <f t="shared" si="53"/>
        <v>-4.954079831693786</v>
      </c>
      <c r="T39" s="24">
        <f t="shared" si="54"/>
        <v>436.60636</v>
      </c>
      <c r="U39" s="66">
        <f t="shared" si="55"/>
        <v>437.66654</v>
      </c>
      <c r="W39" s="1202">
        <f t="shared" si="56"/>
        <v>7.4044742882920806E-3</v>
      </c>
      <c r="X39" s="21">
        <f t="shared" si="57"/>
        <v>3.2952532096855919E-4</v>
      </c>
      <c r="Y39" s="23">
        <f t="shared" si="58"/>
        <v>7.0040652454804774E-3</v>
      </c>
      <c r="Z39" s="21">
        <f t="shared" si="59"/>
        <v>1.4300708913070097E-2</v>
      </c>
      <c r="AA39" s="21">
        <f t="shared" si="60"/>
        <v>2.5679095920671552E-2</v>
      </c>
      <c r="AB39" s="21">
        <f t="shared" si="61"/>
        <v>-4.3758963713040835</v>
      </c>
      <c r="AC39" s="70">
        <f t="shared" si="62"/>
        <v>3.1169677087806714E-4</v>
      </c>
      <c r="AF39" s="1168">
        <f t="shared" si="63"/>
        <v>36</v>
      </c>
      <c r="AG39" s="19">
        <f t="shared" si="63"/>
        <v>3</v>
      </c>
      <c r="AH39" s="1188">
        <f t="shared" si="63"/>
        <v>61</v>
      </c>
      <c r="AI39" s="19">
        <f t="shared" si="63"/>
        <v>1369</v>
      </c>
      <c r="AJ39" s="1100">
        <f t="shared" si="63"/>
        <v>417.27120000000002</v>
      </c>
      <c r="AK39" s="1146">
        <f t="shared" si="64"/>
        <v>1</v>
      </c>
      <c r="AL39" s="97">
        <f t="shared" si="65"/>
        <v>869</v>
      </c>
      <c r="AM39" s="75">
        <f t="shared" si="66"/>
        <v>6.556348651728329E-2</v>
      </c>
      <c r="AN39" s="75">
        <f t="shared" si="67"/>
        <v>2.3320176533368087E-3</v>
      </c>
      <c r="AO39" s="75">
        <f t="shared" si="68"/>
        <v>6.7895504170620097E-2</v>
      </c>
      <c r="AP39" s="75">
        <f t="shared" si="73"/>
        <v>7.7895504170620092E-2</v>
      </c>
      <c r="AQ39" s="12">
        <f t="shared" si="74"/>
        <v>2114.5599303372214</v>
      </c>
      <c r="AR39" s="13" t="str">
        <f t="shared" si="69"/>
        <v>Infl</v>
      </c>
      <c r="AS39" s="12">
        <f t="shared" si="70"/>
        <v>-2114.5599303372214</v>
      </c>
      <c r="AT39" s="98">
        <f t="shared" si="75"/>
        <v>-0.44460957421547365</v>
      </c>
      <c r="AU39" s="12">
        <f t="shared" si="71"/>
        <v>224018.87101011846</v>
      </c>
      <c r="AV39" s="1047">
        <f t="shared" si="72"/>
        <v>-6851.1741742925979</v>
      </c>
    </row>
    <row r="40" spans="2:48" ht="21" customHeight="1" thickBot="1">
      <c r="B40" s="1168">
        <f>'Input-Output'!BK35</f>
        <v>35</v>
      </c>
      <c r="C40" s="19">
        <f>'Input-Output'!BL35</f>
        <v>1</v>
      </c>
      <c r="D40" s="1188">
        <f>'Input-Output'!BM35</f>
        <v>59</v>
      </c>
      <c r="E40" s="19">
        <f>'Input-Output'!BN35</f>
        <v>1349</v>
      </c>
      <c r="F40" s="19">
        <f>'Input-Output'!BO35</f>
        <v>411.17520000000002</v>
      </c>
      <c r="G40" s="20">
        <f t="shared" si="41"/>
        <v>96.482347460773639</v>
      </c>
      <c r="H40" s="20">
        <f t="shared" si="42"/>
        <v>28.568908811722643</v>
      </c>
      <c r="I40" s="20">
        <f t="shared" si="43"/>
        <v>387.72065928900935</v>
      </c>
      <c r="J40" s="20">
        <f t="shared" si="44"/>
        <v>13.993575912834322</v>
      </c>
      <c r="K40" s="20">
        <f t="shared" si="45"/>
        <v>19.728800611153552</v>
      </c>
      <c r="L40" s="27">
        <f t="shared" si="46"/>
        <v>-23.02244</v>
      </c>
      <c r="M40" s="17">
        <f t="shared" si="47"/>
        <v>-21.986660000000001</v>
      </c>
      <c r="N40" s="22">
        <f t="shared" si="48"/>
        <v>-14.8764385173544</v>
      </c>
      <c r="O40" s="23">
        <f t="shared" si="49"/>
        <v>5.5524326176038493E-4</v>
      </c>
      <c r="P40" s="22">
        <f t="shared" si="50"/>
        <v>177.53024305486397</v>
      </c>
      <c r="Q40" s="102">
        <f t="shared" si="51"/>
        <v>11.53981536658978</v>
      </c>
      <c r="R40" s="106">
        <f t="shared" si="52"/>
        <v>8.6656499106147977E-2</v>
      </c>
      <c r="S40" s="32">
        <f t="shared" si="53"/>
        <v>-4.9419481755498333</v>
      </c>
      <c r="T40" s="24">
        <f t="shared" si="54"/>
        <v>436.67755999999997</v>
      </c>
      <c r="U40" s="66">
        <f t="shared" si="55"/>
        <v>437.71334000000002</v>
      </c>
      <c r="W40" s="1202">
        <f t="shared" si="56"/>
        <v>7.4226170392335819E-3</v>
      </c>
      <c r="X40" s="21">
        <f t="shared" si="57"/>
        <v>3.3009214531135673E-4</v>
      </c>
      <c r="Y40" s="23">
        <f t="shared" si="58"/>
        <v>7.0303300526762206E-3</v>
      </c>
      <c r="Z40" s="21">
        <f t="shared" si="59"/>
        <v>1.4354335678270009E-2</v>
      </c>
      <c r="AA40" s="21">
        <f t="shared" si="60"/>
        <v>2.5480796927164526E-2</v>
      </c>
      <c r="AB40" s="21">
        <f t="shared" si="61"/>
        <v>-4.3836485371336105</v>
      </c>
      <c r="AC40" s="70">
        <f t="shared" si="62"/>
        <v>3.1263793195273796E-4</v>
      </c>
      <c r="AF40" s="1168">
        <f t="shared" si="63"/>
        <v>35</v>
      </c>
      <c r="AG40" s="19">
        <f t="shared" si="63"/>
        <v>1</v>
      </c>
      <c r="AH40" s="1188">
        <f t="shared" si="63"/>
        <v>59</v>
      </c>
      <c r="AI40" s="19">
        <f t="shared" si="63"/>
        <v>1349</v>
      </c>
      <c r="AJ40" s="1100">
        <f t="shared" si="63"/>
        <v>411.17520000000002</v>
      </c>
      <c r="AK40" s="1146">
        <f t="shared" si="64"/>
        <v>1</v>
      </c>
      <c r="AL40" s="97">
        <f t="shared" si="65"/>
        <v>849</v>
      </c>
      <c r="AM40" s="75">
        <f t="shared" si="66"/>
        <v>5.9441302192576193E-2</v>
      </c>
      <c r="AN40" s="75">
        <f t="shared" si="67"/>
        <v>2.2800753683176211E-3</v>
      </c>
      <c r="AO40" s="75">
        <f t="shared" si="68"/>
        <v>6.1721377560893811E-2</v>
      </c>
      <c r="AP40" s="75">
        <f t="shared" si="73"/>
        <v>7.1721377560893806E-2</v>
      </c>
      <c r="AQ40" s="12">
        <f t="shared" si="74"/>
        <v>2028.4460423562882</v>
      </c>
      <c r="AR40" s="13" t="str">
        <f t="shared" si="69"/>
        <v>Infl</v>
      </c>
      <c r="AS40" s="12">
        <f t="shared" si="70"/>
        <v>-2028.4460423562882</v>
      </c>
      <c r="AT40" s="98">
        <f t="shared" si="75"/>
        <v>-0.42650317840235719</v>
      </c>
      <c r="AU40" s="12">
        <f t="shared" si="71"/>
        <v>214739.88891851529</v>
      </c>
      <c r="AV40" s="1047">
        <f t="shared" si="72"/>
        <v>-6572.1651772343739</v>
      </c>
    </row>
    <row r="41" spans="2:48" ht="21" customHeight="1">
      <c r="B41" s="1178" t="str">
        <f>'Input-Output'!BK36</f>
        <v>Section &gt;&gt;</v>
      </c>
      <c r="C41" s="1070"/>
      <c r="D41" s="1032" t="str">
        <f>'Input-Output'!BM36</f>
        <v>5-Srv</v>
      </c>
      <c r="E41" s="1070" t="s">
        <v>873</v>
      </c>
      <c r="F41" s="1033">
        <f>'Input-Output'!BO36</f>
        <v>5</v>
      </c>
      <c r="G41" s="1071" t="s">
        <v>867</v>
      </c>
      <c r="H41" s="1072"/>
      <c r="I41" s="1033">
        <f>'Input-Output'!BF44</f>
        <v>75</v>
      </c>
      <c r="J41" s="1072" t="s">
        <v>874</v>
      </c>
      <c r="K41" s="1067">
        <f>'Input-Output'!BF46</f>
        <v>640</v>
      </c>
      <c r="L41" s="1073" t="s">
        <v>885</v>
      </c>
      <c r="M41" s="1091"/>
      <c r="N41" s="1092"/>
      <c r="O41" s="1044">
        <f>'Input-Output'!BF47</f>
        <v>9600</v>
      </c>
      <c r="P41" s="1076" t="s">
        <v>869</v>
      </c>
      <c r="Q41" s="1077"/>
      <c r="R41" s="2301">
        <f>'Input-Output'!BF45</f>
        <v>120000</v>
      </c>
      <c r="S41" s="1076" t="s">
        <v>868</v>
      </c>
      <c r="T41" s="1078"/>
      <c r="U41" s="1056">
        <f>'Input-Output'!BF50</f>
        <v>60</v>
      </c>
      <c r="W41" s="1111" t="s">
        <v>103</v>
      </c>
      <c r="X41" s="1112"/>
      <c r="Y41" s="1112"/>
      <c r="Z41" s="1113">
        <f>'Input-Output'!BF32</f>
        <v>0.02</v>
      </c>
      <c r="AA41" s="35" t="s">
        <v>102</v>
      </c>
      <c r="AB41" s="10"/>
      <c r="AC41" s="1057">
        <f>'Input-Output'!BF31</f>
        <v>0.65</v>
      </c>
      <c r="AF41" s="1166" t="str">
        <f>B41</f>
        <v>Section &gt;&gt;</v>
      </c>
      <c r="AG41" s="1104"/>
      <c r="AH41" s="1105" t="str">
        <f>D41</f>
        <v>5-Srv</v>
      </c>
      <c r="AI41" s="1104" t="str">
        <f>E41</f>
        <v>Flrs/S</v>
      </c>
      <c r="AJ41" s="1106">
        <f>F41</f>
        <v>5</v>
      </c>
      <c r="AK41" s="1207">
        <f>SUM(AK42:AK47)</f>
        <v>5</v>
      </c>
      <c r="AL41" s="1114" t="s">
        <v>112</v>
      </c>
      <c r="AM41" s="1115"/>
      <c r="AN41" s="1116">
        <f>'Input-Output'!BF55</f>
        <v>9.6576000000000004</v>
      </c>
      <c r="AO41" s="1114" t="s">
        <v>882</v>
      </c>
      <c r="AP41" s="1117"/>
      <c r="AQ41" s="1118"/>
      <c r="AR41" s="1080">
        <f xml:space="preserve"> (SUM(AQ42:AQ47)/AK41) * AJ41</f>
        <v>2379.0978352203238</v>
      </c>
      <c r="AS41" s="1114" t="s">
        <v>884</v>
      </c>
      <c r="AT41" s="1117"/>
      <c r="AU41" s="1118"/>
      <c r="AV41" s="1148">
        <f xml:space="preserve"> (SUM(AV42:AV47)/AK41) * AJ41</f>
        <v>-7708.2769861138477</v>
      </c>
    </row>
    <row r="42" spans="2:48" ht="21" customHeight="1">
      <c r="B42" s="1168">
        <f>'Input-Output'!BK37</f>
        <v>34</v>
      </c>
      <c r="C42" s="19">
        <f>'Input-Output'!BL37</f>
        <v>0</v>
      </c>
      <c r="D42" s="1188" t="str">
        <f>'Input-Output'!BM37</f>
        <v>XX</v>
      </c>
      <c r="E42" s="19" t="str">
        <f>'Input-Output'!BN37</f>
        <v>XX</v>
      </c>
      <c r="F42" s="19" t="str">
        <f>'Input-Output'!BO37</f>
        <v>XX</v>
      </c>
      <c r="G42" s="20" t="str">
        <f t="shared" ref="G42:G47" si="76">IF(E42="XX","XX",((101325*(1-2.25577*(10^(-5))*F42)^5.2555)/1000))</f>
        <v>XX</v>
      </c>
      <c r="H42" s="20" t="str">
        <f t="shared" ref="H42:H47" si="77" xml:space="preserve"> IF(E42="XX", "XX", G42*$AJ$5)</f>
        <v>XX</v>
      </c>
      <c r="I42" s="20" t="str">
        <f t="shared" ref="I42:I47" si="78">IF(E42="XX", "XX", G42*$AL$5)</f>
        <v>XX</v>
      </c>
      <c r="J42" s="20" t="str">
        <f t="shared" ref="J42:J47" si="79" xml:space="preserve"> IF(E42="XX", "XX",G42*$AN$5)</f>
        <v>XX</v>
      </c>
      <c r="K42" s="20" t="str">
        <f t="shared" ref="K42:K47" si="80" xml:space="preserve"> IF(E42="XX", "XX", ( $K$79 + $U$2 * (E42-$D$2)/$F$2 ) )</f>
        <v>XX</v>
      </c>
      <c r="L42" s="27" t="str">
        <f t="shared" ref="L42:L47" si="81" xml:space="preserve"> IF(E42="XX", "XX", $L$79 - $AA$2*(E42-$E$79))</f>
        <v>XX</v>
      </c>
      <c r="M42" s="17" t="str">
        <f t="shared" ref="M42:M47" si="82">IF(E42="XX","XX ", $M$79-$AC$2*(E42-$E$79))</f>
        <v xml:space="preserve">XX </v>
      </c>
      <c r="N42" s="22" t="str">
        <f t="shared" ref="N42:N47" si="83">IF(E42="XX","XX",100.45+33.193*AB42+2.319*AB42^2+0.17074*AB42^3+1.2063*(AA42*0.4897705)^3)</f>
        <v>XX</v>
      </c>
      <c r="O42" s="23" t="str">
        <f t="shared" ref="O42:O47" si="84">IF(E42="XX","XX ",((1093-0.556*M42)*X42-0.24*(L42-M42))/(1093+0.444*L42-M42))</f>
        <v xml:space="preserve">XX </v>
      </c>
      <c r="P42" s="22" t="str">
        <f t="shared" ref="P42:P47" si="85" xml:space="preserve"> IF(E42="XX", "XX", ((O42/AC42)/(1-(1-(O42/AC42))*(Y42/J42)))*100)</f>
        <v>XX</v>
      </c>
      <c r="Q42" s="102" t="str">
        <f t="shared" ref="Q42:Q47" si="86" xml:space="preserve"> IF(E42="XX", "XX", 0.7543*(T42*(1+1.6078*O42))/H42)</f>
        <v>XX</v>
      </c>
      <c r="R42" s="106" t="str">
        <f t="shared" ref="R42:R47" si="87" xml:space="preserve"> IF(E42="XX", "XX", 1/Q42)</f>
        <v>XX</v>
      </c>
      <c r="S42" s="32" t="str">
        <f t="shared" ref="S42:S47" si="88">IF(E42="XX", "XX", 0.24*L42+O42*(1061+0.444*L42))</f>
        <v>XX</v>
      </c>
      <c r="T42" s="24" t="str">
        <f t="shared" ref="T42:T47" si="89">IF(E42="XX", "XX", L42+459.7)</f>
        <v>XX</v>
      </c>
      <c r="U42" s="66" t="str">
        <f t="shared" ref="U42:U47" si="90">IF(E42="XX", "XX", M42+459.7)</f>
        <v>XX</v>
      </c>
      <c r="W42" s="1202" t="str">
        <f t="shared" ref="W42:W47" si="91" xml:space="preserve"> IF(E42="XX", "XX", EXP((-10440.397/U42)+(-11.29465) + (-0.027022355*U42) + (0.00001289036*U42*U42) + (-0.0000000024780681*U42^3)+(6.5459673*LN(U42))) )</f>
        <v>XX</v>
      </c>
      <c r="X42" s="21" t="str">
        <f t="shared" ref="X42:X47" si="92">IF(E42="XX", "XX", 0.62198*W42/(J42-W42))</f>
        <v>XX</v>
      </c>
      <c r="Y42" s="23" t="str">
        <f t="shared" ref="Y42:Y47" si="93" xml:space="preserve"> IF(E42="XX", "XX", EXP((-10440.397/T42)+(-11.29465) + (-0.027022355*T42) + (0.00001289036*T42*T42) + (-0.0000000024780681*T42^3)+(6.5459673*LN(T42))) )</f>
        <v>XX</v>
      </c>
      <c r="Z42" s="21" t="str">
        <f t="shared" ref="Z42:Z47" si="94">IF(E42="XX", "XX", Y42*2.041772658 )</f>
        <v>XX</v>
      </c>
      <c r="AA42" s="21" t="str">
        <f t="shared" ref="AA42:AA47" si="95">IF(E42="XX", "XX", (H42*O42)/(0.62198+O42))</f>
        <v>XX</v>
      </c>
      <c r="AB42" s="21" t="str">
        <f t="shared" ref="AB42:AB47" si="96">IF(E42="XX", "XX", LN(AA42*0.4897705))</f>
        <v>XX</v>
      </c>
      <c r="AC42" s="70" t="str">
        <f t="shared" ref="AC42:AC47" si="97">IF(E42="XX", "XX", 0.62198*(Y42/(J42-Y42)))</f>
        <v>XX</v>
      </c>
      <c r="AF42" s="1168">
        <f t="shared" ref="AF42:AJ47" si="98">B42</f>
        <v>34</v>
      </c>
      <c r="AG42" s="19">
        <f t="shared" si="98"/>
        <v>0</v>
      </c>
      <c r="AH42" s="1188" t="str">
        <f t="shared" si="98"/>
        <v>XX</v>
      </c>
      <c r="AI42" s="19" t="str">
        <f t="shared" si="98"/>
        <v>XX</v>
      </c>
      <c r="AJ42" s="1100" t="str">
        <f t="shared" si="98"/>
        <v>XX</v>
      </c>
      <c r="AK42" s="1146">
        <f t="shared" ref="AK42:AK47" si="99">IF( (AG42&gt;0),1, 0)</f>
        <v>0</v>
      </c>
      <c r="AL42" s="97" t="str">
        <f t="shared" ref="AL42:AL47" si="100" xml:space="preserve"> IF(D42="XX", "XX", E42- $D$2)</f>
        <v>XX</v>
      </c>
      <c r="AM42" s="75" t="str">
        <f t="shared" ref="AM42:AM47" si="101" xml:space="preserve"> IF(D42="XX", "XX", $AP$5 * R42 * (T42-$T$5)/$T$5 * $AR$5 * ($H$2-AL42))</f>
        <v>XX</v>
      </c>
      <c r="AN42" s="75" t="str">
        <f t="shared" ref="AN42:AN47" si="102" xml:space="preserve"> IF(D42="XX", "XX", $AT$5 * $AP$6^2 * $AT$6 * R42 * K42^2/2)</f>
        <v>XX</v>
      </c>
      <c r="AO42" s="75" t="str">
        <f t="shared" ref="AO42:AO47" si="103" xml:space="preserve"> IF(D42="XX", "XX", AM42 +AN42)</f>
        <v>XX</v>
      </c>
      <c r="AP42" s="75" t="str">
        <f xml:space="preserve"> IF(D42="XX", "XX", AO42 +$Z$41)</f>
        <v>XX</v>
      </c>
      <c r="AQ42" s="12">
        <f xml:space="preserve"> IF(D42="XX", 0, 60 * ($AC$41 * $AN$41 * (2 * ABS(AP42)/R42)^0.5))</f>
        <v>0</v>
      </c>
      <c r="AR42" s="13" t="str">
        <f t="shared" ref="AR42:AR47" si="104">IF(D42="XX", "XX", IF(AP42&lt;0, "Exfl", "Infl"))</f>
        <v>XX</v>
      </c>
      <c r="AS42" s="12">
        <f t="shared" ref="AS42:AS47" si="105" xml:space="preserve"> IF(AR42="Infl", -AQ42, AQ42)</f>
        <v>0</v>
      </c>
      <c r="AT42" s="98" t="str">
        <f>IF(D42="XX", "XX", AS42/$O$41)</f>
        <v>XX</v>
      </c>
      <c r="AU42" s="12" t="str">
        <f t="shared" ref="AU42:AU47" si="106">IF(D42="XX", "XX", AS42*1.08*(L42-$L$6))</f>
        <v>XX</v>
      </c>
      <c r="AV42" s="1047">
        <f t="shared" ref="AV42:AV47" si="107" xml:space="preserve"> IF(D42="XX", 0, AS42 * 1.08 * 3000/1000)</f>
        <v>0</v>
      </c>
    </row>
    <row r="43" spans="2:48" ht="21" customHeight="1">
      <c r="B43" s="1168">
        <f>'Input-Output'!BK38</f>
        <v>33</v>
      </c>
      <c r="C43" s="19">
        <f>'Input-Output'!BL38</f>
        <v>5</v>
      </c>
      <c r="D43" s="1188">
        <f>'Input-Output'!BM38</f>
        <v>58</v>
      </c>
      <c r="E43" s="19">
        <f>'Input-Output'!BN38</f>
        <v>1339</v>
      </c>
      <c r="F43" s="19">
        <f>'Input-Output'!BO38</f>
        <v>408.12720000000002</v>
      </c>
      <c r="G43" s="20">
        <f t="shared" si="76"/>
        <v>96.51754260605999</v>
      </c>
      <c r="H43" s="20">
        <f t="shared" si="77"/>
        <v>28.57933027142759</v>
      </c>
      <c r="I43" s="20">
        <f t="shared" si="78"/>
        <v>387.86209329526366</v>
      </c>
      <c r="J43" s="20">
        <f t="shared" si="79"/>
        <v>13.998680535081702</v>
      </c>
      <c r="K43" s="20">
        <f t="shared" si="80"/>
        <v>19.614209320091675</v>
      </c>
      <c r="L43" s="27">
        <f t="shared" si="81"/>
        <v>-22.986840000000001</v>
      </c>
      <c r="M43" s="17">
        <f t="shared" si="82"/>
        <v>-21.963259999999998</v>
      </c>
      <c r="N43" s="22">
        <f t="shared" si="83"/>
        <v>-14.9650503228041</v>
      </c>
      <c r="O43" s="23">
        <f t="shared" si="84"/>
        <v>5.5287667001401681E-4</v>
      </c>
      <c r="P43" s="22">
        <f t="shared" si="85"/>
        <v>176.50817083893028</v>
      </c>
      <c r="Q43" s="102">
        <f t="shared" si="86"/>
        <v>11.536503949381251</v>
      </c>
      <c r="R43" s="106">
        <f t="shared" si="87"/>
        <v>8.6681372830772888E-2</v>
      </c>
      <c r="S43" s="32">
        <f t="shared" si="88"/>
        <v>-4.9358821991888133</v>
      </c>
      <c r="T43" s="24">
        <f t="shared" si="89"/>
        <v>436.71316000000002</v>
      </c>
      <c r="U43" s="66">
        <f t="shared" si="90"/>
        <v>437.73674</v>
      </c>
      <c r="W43" s="1202">
        <f t="shared" si="91"/>
        <v>7.4317034673932279E-3</v>
      </c>
      <c r="X43" s="21">
        <f t="shared" si="92"/>
        <v>3.3037586410475633E-4</v>
      </c>
      <c r="Y43" s="23">
        <f t="shared" si="93"/>
        <v>7.0434958080913216E-3</v>
      </c>
      <c r="Z43" s="21">
        <f t="shared" si="94"/>
        <v>1.4381217157698477E-2</v>
      </c>
      <c r="AA43" s="21">
        <f t="shared" si="95"/>
        <v>2.5381542957566925E-2</v>
      </c>
      <c r="AB43" s="21">
        <f t="shared" si="96"/>
        <v>-4.387551389256064</v>
      </c>
      <c r="AC43" s="70">
        <f t="shared" si="97"/>
        <v>3.1310943175696324E-4</v>
      </c>
      <c r="AF43" s="1168">
        <f t="shared" si="98"/>
        <v>33</v>
      </c>
      <c r="AG43" s="19">
        <f t="shared" si="98"/>
        <v>5</v>
      </c>
      <c r="AH43" s="1188">
        <f t="shared" si="98"/>
        <v>58</v>
      </c>
      <c r="AI43" s="19">
        <f t="shared" si="98"/>
        <v>1339</v>
      </c>
      <c r="AJ43" s="1100">
        <f t="shared" si="98"/>
        <v>408.12720000000002</v>
      </c>
      <c r="AK43" s="1146">
        <f t="shared" si="99"/>
        <v>1</v>
      </c>
      <c r="AL43" s="97">
        <f t="shared" si="100"/>
        <v>839</v>
      </c>
      <c r="AM43" s="75">
        <f t="shared" si="101"/>
        <v>5.6380894841007369E-2</v>
      </c>
      <c r="AN43" s="75">
        <f t="shared" si="102"/>
        <v>2.2543123397149403E-3</v>
      </c>
      <c r="AO43" s="75">
        <f t="shared" si="103"/>
        <v>5.8635207180722307E-2</v>
      </c>
      <c r="AP43" s="75">
        <f t="shared" ref="AP43:AP47" si="108" xml:space="preserve"> IF(D43="XX", "XX", AO43 +$Z$41)</f>
        <v>7.8635207180722311E-2</v>
      </c>
      <c r="AQ43" s="12">
        <f t="shared" ref="AQ43:AQ47" si="109" xml:space="preserve"> IF(D43="XX", 0, 60 * ($AC$41 * $AN$41 * (2 * ABS(AP43)/R43)^0.5))</f>
        <v>507.33455773478067</v>
      </c>
      <c r="AR43" s="13" t="str">
        <f t="shared" si="104"/>
        <v>Infl</v>
      </c>
      <c r="AS43" s="12">
        <f t="shared" si="105"/>
        <v>-507.33455773478067</v>
      </c>
      <c r="AT43" s="98">
        <f t="shared" ref="AT43:AT47" si="110">IF(D43="XX", "XX", AS43/$O$41)</f>
        <v>-5.2847349764039653E-2</v>
      </c>
      <c r="AU43" s="12">
        <f t="shared" si="106"/>
        <v>53689.078946047019</v>
      </c>
      <c r="AV43" s="1047">
        <f t="shared" si="107"/>
        <v>-1643.7639670606893</v>
      </c>
    </row>
    <row r="44" spans="2:48" ht="21" customHeight="1">
      <c r="B44" s="1168">
        <f>'Input-Output'!BK39</f>
        <v>32</v>
      </c>
      <c r="C44" s="19">
        <f>'Input-Output'!BL39</f>
        <v>4</v>
      </c>
      <c r="D44" s="1188">
        <f>'Input-Output'!BM39</f>
        <v>57</v>
      </c>
      <c r="E44" s="19">
        <f>'Input-Output'!BN39</f>
        <v>1324</v>
      </c>
      <c r="F44" s="19">
        <f>'Input-Output'!BO39</f>
        <v>403.55520000000001</v>
      </c>
      <c r="G44" s="20">
        <f t="shared" si="76"/>
        <v>96.570354815329651</v>
      </c>
      <c r="H44" s="20">
        <f t="shared" si="77"/>
        <v>28.59496823246895</v>
      </c>
      <c r="I44" s="20">
        <f t="shared" si="78"/>
        <v>388.07432263187746</v>
      </c>
      <c r="J44" s="20">
        <f t="shared" si="79"/>
        <v>14.006340295431542</v>
      </c>
      <c r="K44" s="20">
        <f t="shared" si="80"/>
        <v>19.442322383498855</v>
      </c>
      <c r="L44" s="27">
        <f t="shared" si="81"/>
        <v>-22.933440000000001</v>
      </c>
      <c r="M44" s="17">
        <f t="shared" si="82"/>
        <v>-21.928159999999998</v>
      </c>
      <c r="N44" s="22">
        <f t="shared" si="83"/>
        <v>-15.098733324565814</v>
      </c>
      <c r="O44" s="23">
        <f t="shared" si="84"/>
        <v>5.4932709261901614E-4</v>
      </c>
      <c r="P44" s="22">
        <f t="shared" si="85"/>
        <v>174.98026556618149</v>
      </c>
      <c r="Q44" s="102">
        <f t="shared" si="86"/>
        <v>11.531539014123011</v>
      </c>
      <c r="R44" s="106">
        <f t="shared" si="87"/>
        <v>8.6718693729889038E-2</v>
      </c>
      <c r="S44" s="32">
        <f t="shared" si="88"/>
        <v>-4.9267830489352393</v>
      </c>
      <c r="T44" s="24">
        <f t="shared" si="89"/>
        <v>436.76655999999997</v>
      </c>
      <c r="U44" s="66">
        <f t="shared" si="90"/>
        <v>437.77184</v>
      </c>
      <c r="W44" s="1202">
        <f t="shared" si="91"/>
        <v>7.4453519531584725E-3</v>
      </c>
      <c r="X44" s="21">
        <f t="shared" si="92"/>
        <v>3.3080182589575536E-4</v>
      </c>
      <c r="Y44" s="23">
        <f t="shared" si="93"/>
        <v>7.0632862248369505E-3</v>
      </c>
      <c r="Z44" s="21">
        <f t="shared" si="94"/>
        <v>1.4421624689500128E-2</v>
      </c>
      <c r="AA44" s="21">
        <f t="shared" si="95"/>
        <v>2.5232531350829493E-2</v>
      </c>
      <c r="AB44" s="21">
        <f t="shared" si="96"/>
        <v>-4.3934395553165482</v>
      </c>
      <c r="AC44" s="70">
        <f t="shared" si="97"/>
        <v>3.1381783239483425E-4</v>
      </c>
      <c r="AF44" s="1168">
        <f t="shared" si="98"/>
        <v>32</v>
      </c>
      <c r="AG44" s="19">
        <f t="shared" si="98"/>
        <v>4</v>
      </c>
      <c r="AH44" s="1188">
        <f t="shared" si="98"/>
        <v>57</v>
      </c>
      <c r="AI44" s="19">
        <f t="shared" si="98"/>
        <v>1324</v>
      </c>
      <c r="AJ44" s="1100">
        <f t="shared" si="98"/>
        <v>403.55520000000001</v>
      </c>
      <c r="AK44" s="1146">
        <f t="shared" si="99"/>
        <v>1</v>
      </c>
      <c r="AL44" s="97">
        <f t="shared" si="100"/>
        <v>824</v>
      </c>
      <c r="AM44" s="75">
        <f t="shared" si="101"/>
        <v>5.1791143557304235E-2</v>
      </c>
      <c r="AN44" s="75">
        <f t="shared" si="102"/>
        <v>2.2159282976872475E-3</v>
      </c>
      <c r="AO44" s="75">
        <f t="shared" si="103"/>
        <v>5.4007071854991484E-2</v>
      </c>
      <c r="AP44" s="75">
        <f t="shared" si="108"/>
        <v>7.4007071854991488E-2</v>
      </c>
      <c r="AQ44" s="12">
        <f t="shared" si="109"/>
        <v>492.07246706763846</v>
      </c>
      <c r="AR44" s="13" t="str">
        <f t="shared" si="104"/>
        <v>Infl</v>
      </c>
      <c r="AS44" s="12">
        <f t="shared" si="105"/>
        <v>-492.07246706763846</v>
      </c>
      <c r="AT44" s="98">
        <f t="shared" si="110"/>
        <v>-5.1257548652879008E-2</v>
      </c>
      <c r="AU44" s="12">
        <f t="shared" si="106"/>
        <v>52045.577383558193</v>
      </c>
      <c r="AV44" s="1047">
        <f t="shared" si="107"/>
        <v>-1594.3147932991485</v>
      </c>
    </row>
    <row r="45" spans="2:48" ht="21" customHeight="1">
      <c r="B45" s="1168">
        <f>'Input-Output'!BK40</f>
        <v>31</v>
      </c>
      <c r="C45" s="19">
        <f>'Input-Output'!BL40</f>
        <v>3</v>
      </c>
      <c r="D45" s="1188">
        <f>'Input-Output'!BM40</f>
        <v>56</v>
      </c>
      <c r="E45" s="19">
        <f>'Input-Output'!BN40</f>
        <v>1309</v>
      </c>
      <c r="F45" s="19">
        <f>'Input-Output'!BO40</f>
        <v>398.98320000000001</v>
      </c>
      <c r="G45" s="20">
        <f t="shared" si="76"/>
        <v>96.623190421253597</v>
      </c>
      <c r="H45" s="20">
        <f t="shared" si="77"/>
        <v>28.610613121377433</v>
      </c>
      <c r="I45" s="20">
        <f t="shared" si="78"/>
        <v>388.28664598948541</v>
      </c>
      <c r="J45" s="20">
        <f t="shared" si="79"/>
        <v>14.014003449177856</v>
      </c>
      <c r="K45" s="20">
        <f t="shared" si="80"/>
        <v>19.270435446906035</v>
      </c>
      <c r="L45" s="27">
        <f t="shared" si="81"/>
        <v>-22.880040000000001</v>
      </c>
      <c r="M45" s="17">
        <f t="shared" si="82"/>
        <v>-21.893059999999998</v>
      </c>
      <c r="N45" s="22">
        <f t="shared" si="83"/>
        <v>-15.233345299570496</v>
      </c>
      <c r="O45" s="23">
        <f t="shared" si="84"/>
        <v>5.4577788782729497E-4</v>
      </c>
      <c r="P45" s="22">
        <f t="shared" si="85"/>
        <v>173.45858334923398</v>
      </c>
      <c r="Q45" s="102">
        <f t="shared" si="86"/>
        <v>11.526576706071397</v>
      </c>
      <c r="R45" s="106">
        <f t="shared" si="87"/>
        <v>8.675602700611619E-2</v>
      </c>
      <c r="S45" s="32">
        <f t="shared" si="88"/>
        <v>-4.917683675452885</v>
      </c>
      <c r="T45" s="24">
        <f t="shared" si="89"/>
        <v>436.81995999999998</v>
      </c>
      <c r="U45" s="66">
        <f t="shared" si="90"/>
        <v>437.80694</v>
      </c>
      <c r="W45" s="1202">
        <f t="shared" si="91"/>
        <v>7.4590230807005265E-3</v>
      </c>
      <c r="X45" s="21">
        <f t="shared" si="92"/>
        <v>3.3122824835296269E-4</v>
      </c>
      <c r="Y45" s="23">
        <f t="shared" si="93"/>
        <v>7.0831268822324975E-3</v>
      </c>
      <c r="Z45" s="21">
        <f t="shared" si="94"/>
        <v>1.4462134801287101E-2</v>
      </c>
      <c r="AA45" s="21">
        <f t="shared" si="95"/>
        <v>2.5083362895926435E-2</v>
      </c>
      <c r="AB45" s="21">
        <f t="shared" si="96"/>
        <v>-4.3993688503894655</v>
      </c>
      <c r="AC45" s="70">
        <f t="shared" si="97"/>
        <v>3.1452761612403687E-4</v>
      </c>
      <c r="AF45" s="1168">
        <f t="shared" si="98"/>
        <v>31</v>
      </c>
      <c r="AG45" s="19">
        <f t="shared" si="98"/>
        <v>3</v>
      </c>
      <c r="AH45" s="1188">
        <f t="shared" si="98"/>
        <v>56</v>
      </c>
      <c r="AI45" s="19">
        <f t="shared" si="98"/>
        <v>1309</v>
      </c>
      <c r="AJ45" s="1100">
        <f t="shared" si="98"/>
        <v>398.98320000000001</v>
      </c>
      <c r="AK45" s="1146">
        <f t="shared" si="99"/>
        <v>1</v>
      </c>
      <c r="AL45" s="97">
        <f t="shared" si="100"/>
        <v>809</v>
      </c>
      <c r="AM45" s="75">
        <f t="shared" si="101"/>
        <v>4.7202427948100652E-2</v>
      </c>
      <c r="AN45" s="75">
        <f t="shared" si="102"/>
        <v>2.177857239362434E-3</v>
      </c>
      <c r="AO45" s="75">
        <f t="shared" si="103"/>
        <v>4.9380285187463083E-2</v>
      </c>
      <c r="AP45" s="75">
        <f t="shared" si="108"/>
        <v>6.9380285187463087E-2</v>
      </c>
      <c r="AQ45" s="12">
        <f t="shared" si="109"/>
        <v>476.33997695716312</v>
      </c>
      <c r="AR45" s="13" t="str">
        <f t="shared" si="104"/>
        <v>Infl</v>
      </c>
      <c r="AS45" s="12">
        <f t="shared" si="105"/>
        <v>-476.33997695716312</v>
      </c>
      <c r="AT45" s="98">
        <f t="shared" si="110"/>
        <v>-4.9618747599704492E-2</v>
      </c>
      <c r="AU45" s="12">
        <f t="shared" si="106"/>
        <v>50354.110078019505</v>
      </c>
      <c r="AV45" s="1047">
        <f t="shared" si="107"/>
        <v>-1543.3415253412086</v>
      </c>
    </row>
    <row r="46" spans="2:48" ht="21" customHeight="1">
      <c r="B46" s="1168">
        <f>'Input-Output'!BK41</f>
        <v>30</v>
      </c>
      <c r="C46" s="19">
        <f>'Input-Output'!BL41</f>
        <v>2</v>
      </c>
      <c r="D46" s="1188">
        <f>'Input-Output'!BM41</f>
        <v>55</v>
      </c>
      <c r="E46" s="19">
        <f>'Input-Output'!BN41</f>
        <v>1294</v>
      </c>
      <c r="F46" s="19">
        <f>'Input-Output'!BO41</f>
        <v>394.41120000000001</v>
      </c>
      <c r="G46" s="20">
        <f t="shared" si="76"/>
        <v>96.676049431760461</v>
      </c>
      <c r="H46" s="20">
        <f t="shared" si="77"/>
        <v>28.626264940500743</v>
      </c>
      <c r="I46" s="20">
        <f t="shared" si="78"/>
        <v>388.49906339994919</v>
      </c>
      <c r="J46" s="20">
        <f t="shared" si="79"/>
        <v>14.0216699974706</v>
      </c>
      <c r="K46" s="20">
        <f t="shared" si="80"/>
        <v>19.098548510313215</v>
      </c>
      <c r="L46" s="27">
        <f t="shared" si="81"/>
        <v>-22.826640000000001</v>
      </c>
      <c r="M46" s="17">
        <f t="shared" si="82"/>
        <v>-21.857959999999999</v>
      </c>
      <c r="N46" s="22">
        <f t="shared" si="83"/>
        <v>-15.368898412889326</v>
      </c>
      <c r="O46" s="23">
        <f t="shared" si="84"/>
        <v>5.422290560145917E-4</v>
      </c>
      <c r="P46" s="22">
        <f t="shared" si="85"/>
        <v>171.94310108597494</v>
      </c>
      <c r="Q46" s="102">
        <f t="shared" si="86"/>
        <v>11.521617023586295</v>
      </c>
      <c r="R46" s="106">
        <f t="shared" si="87"/>
        <v>8.6793372662263113E-2</v>
      </c>
      <c r="S46" s="32">
        <f t="shared" si="88"/>
        <v>-4.9085840783203967</v>
      </c>
      <c r="T46" s="24">
        <f t="shared" si="89"/>
        <v>436.87335999999999</v>
      </c>
      <c r="U46" s="66">
        <f t="shared" si="90"/>
        <v>437.84204</v>
      </c>
      <c r="W46" s="1202">
        <f t="shared" si="91"/>
        <v>7.4727168832972998E-3</v>
      </c>
      <c r="X46" s="21">
        <f t="shared" si="92"/>
        <v>3.316551318648536E-4</v>
      </c>
      <c r="Y46" s="23">
        <f t="shared" si="93"/>
        <v>7.103017893318104E-3</v>
      </c>
      <c r="Z46" s="21">
        <f t="shared" si="94"/>
        <v>1.4502747723861667E-2</v>
      </c>
      <c r="AA46" s="21">
        <f t="shared" si="95"/>
        <v>2.4934037519348806E-2</v>
      </c>
      <c r="AB46" s="21">
        <f t="shared" si="96"/>
        <v>-4.405339805256653</v>
      </c>
      <c r="AC46" s="70">
        <f t="shared" si="97"/>
        <v>3.1523878516717831E-4</v>
      </c>
      <c r="AF46" s="1168">
        <f t="shared" si="98"/>
        <v>30</v>
      </c>
      <c r="AG46" s="19">
        <f t="shared" si="98"/>
        <v>2</v>
      </c>
      <c r="AH46" s="1188">
        <f t="shared" si="98"/>
        <v>55</v>
      </c>
      <c r="AI46" s="19">
        <f t="shared" si="98"/>
        <v>1294</v>
      </c>
      <c r="AJ46" s="1100">
        <f t="shared" si="98"/>
        <v>394.41120000000001</v>
      </c>
      <c r="AK46" s="1146">
        <f t="shared" si="99"/>
        <v>1</v>
      </c>
      <c r="AL46" s="97">
        <f t="shared" si="100"/>
        <v>794</v>
      </c>
      <c r="AM46" s="75">
        <f t="shared" si="101"/>
        <v>4.2614752496657395E-2</v>
      </c>
      <c r="AN46" s="75">
        <f t="shared" si="102"/>
        <v>2.1400995954904763E-3</v>
      </c>
      <c r="AO46" s="75">
        <f t="shared" si="103"/>
        <v>4.475485209214787E-2</v>
      </c>
      <c r="AP46" s="75">
        <f t="shared" si="108"/>
        <v>6.4754852092147874E-2</v>
      </c>
      <c r="AQ46" s="12">
        <f t="shared" si="109"/>
        <v>460.08883475606592</v>
      </c>
      <c r="AR46" s="13" t="str">
        <f t="shared" si="104"/>
        <v>Infl</v>
      </c>
      <c r="AS46" s="12">
        <f t="shared" si="105"/>
        <v>-460.08883475606592</v>
      </c>
      <c r="AT46" s="98">
        <f t="shared" si="110"/>
        <v>-4.7925920287090203E-2</v>
      </c>
      <c r="AU46" s="12">
        <f t="shared" si="106"/>
        <v>48609.660390157245</v>
      </c>
      <c r="AV46" s="1047">
        <f t="shared" si="107"/>
        <v>-1490.6878246096535</v>
      </c>
    </row>
    <row r="47" spans="2:48" ht="21" customHeight="1" thickBot="1">
      <c r="B47" s="1168">
        <f>'Input-Output'!BK42</f>
        <v>29</v>
      </c>
      <c r="C47" s="19">
        <f>'Input-Output'!BL42</f>
        <v>1</v>
      </c>
      <c r="D47" s="1188">
        <f>'Input-Output'!BM42</f>
        <v>54</v>
      </c>
      <c r="E47" s="19">
        <f>'Input-Output'!BN42</f>
        <v>1279</v>
      </c>
      <c r="F47" s="19">
        <f>'Input-Output'!BO42</f>
        <v>389.83920000000001</v>
      </c>
      <c r="G47" s="20">
        <f t="shared" si="76"/>
        <v>96.728931854780527</v>
      </c>
      <c r="H47" s="20">
        <f t="shared" si="77"/>
        <v>28.641923692187081</v>
      </c>
      <c r="I47" s="20">
        <f t="shared" si="78"/>
        <v>388.71157489513723</v>
      </c>
      <c r="J47" s="20">
        <f t="shared" si="79"/>
        <v>14.029339941459957</v>
      </c>
      <c r="K47" s="20">
        <f t="shared" si="80"/>
        <v>18.926661573720395</v>
      </c>
      <c r="L47" s="27">
        <f t="shared" si="81"/>
        <v>-22.773240000000001</v>
      </c>
      <c r="M47" s="17">
        <f t="shared" si="82"/>
        <v>-21.822859999999999</v>
      </c>
      <c r="N47" s="22">
        <f t="shared" si="83"/>
        <v>-15.505405071636526</v>
      </c>
      <c r="O47" s="23">
        <f t="shared" si="84"/>
        <v>5.3868059755683684E-4</v>
      </c>
      <c r="P47" s="22">
        <f t="shared" si="85"/>
        <v>170.43379576032481</v>
      </c>
      <c r="Q47" s="102">
        <f t="shared" si="86"/>
        <v>11.516659965028795</v>
      </c>
      <c r="R47" s="106">
        <f t="shared" si="87"/>
        <v>8.6830730701138628E-2</v>
      </c>
      <c r="S47" s="32">
        <f t="shared" si="88"/>
        <v>-4.8994842571161854</v>
      </c>
      <c r="T47" s="24">
        <f t="shared" si="89"/>
        <v>436.92676</v>
      </c>
      <c r="U47" s="66">
        <f t="shared" si="90"/>
        <v>437.87714</v>
      </c>
      <c r="W47" s="1202">
        <f t="shared" si="91"/>
        <v>7.4864333942685881E-3</v>
      </c>
      <c r="X47" s="21">
        <f t="shared" si="92"/>
        <v>3.3208247682010812E-4</v>
      </c>
      <c r="Y47" s="23">
        <f t="shared" si="93"/>
        <v>7.1229593713529257E-3</v>
      </c>
      <c r="Z47" s="21">
        <f t="shared" si="94"/>
        <v>1.4543463688473273E-2</v>
      </c>
      <c r="AA47" s="21">
        <f t="shared" si="95"/>
        <v>2.4784555147605337E-2</v>
      </c>
      <c r="AB47" s="21">
        <f t="shared" si="96"/>
        <v>-4.4113529610658029</v>
      </c>
      <c r="AC47" s="70">
        <f t="shared" si="97"/>
        <v>3.1595134174954085E-4</v>
      </c>
      <c r="AF47" s="1168">
        <f t="shared" si="98"/>
        <v>29</v>
      </c>
      <c r="AG47" s="19">
        <f t="shared" si="98"/>
        <v>1</v>
      </c>
      <c r="AH47" s="1188">
        <f t="shared" si="98"/>
        <v>54</v>
      </c>
      <c r="AI47" s="19">
        <f t="shared" si="98"/>
        <v>1279</v>
      </c>
      <c r="AJ47" s="1100">
        <f t="shared" si="98"/>
        <v>389.83920000000001</v>
      </c>
      <c r="AK47" s="1146">
        <f t="shared" si="99"/>
        <v>1</v>
      </c>
      <c r="AL47" s="97">
        <f t="shared" si="100"/>
        <v>779</v>
      </c>
      <c r="AM47" s="75">
        <f t="shared" si="101"/>
        <v>3.8028121689919654E-2</v>
      </c>
      <c r="AN47" s="75">
        <f t="shared" si="102"/>
        <v>2.1026557971130311E-3</v>
      </c>
      <c r="AO47" s="75">
        <f t="shared" si="103"/>
        <v>4.0130777487032684E-2</v>
      </c>
      <c r="AP47" s="75">
        <f t="shared" si="108"/>
        <v>6.0130777487032688E-2</v>
      </c>
      <c r="AQ47" s="12">
        <f t="shared" si="109"/>
        <v>443.26199870467531</v>
      </c>
      <c r="AR47" s="13" t="str">
        <f t="shared" si="104"/>
        <v>Infl</v>
      </c>
      <c r="AS47" s="12">
        <f t="shared" si="105"/>
        <v>-443.26199870467531</v>
      </c>
      <c r="AT47" s="98">
        <f t="shared" si="110"/>
        <v>-4.6173124865070345E-2</v>
      </c>
      <c r="AU47" s="12">
        <f t="shared" si="106"/>
        <v>46806.294724810461</v>
      </c>
      <c r="AV47" s="1047">
        <f t="shared" si="107"/>
        <v>-1436.1688758031482</v>
      </c>
    </row>
    <row r="48" spans="2:48" ht="21" customHeight="1">
      <c r="B48" s="1179" t="str">
        <f>'Input-Output'!BK43</f>
        <v>Section &gt;&gt;</v>
      </c>
      <c r="C48" s="1079"/>
      <c r="D48" s="1080" t="str">
        <f>'Input-Output'!BM43</f>
        <v>4-Ofc</v>
      </c>
      <c r="E48" s="1079" t="s">
        <v>873</v>
      </c>
      <c r="F48" s="1081">
        <f>'Input-Output'!BO43</f>
        <v>41</v>
      </c>
      <c r="G48" s="1082" t="s">
        <v>867</v>
      </c>
      <c r="H48" s="1083"/>
      <c r="I48" s="1081">
        <f>'Input-Output'!BE44</f>
        <v>560</v>
      </c>
      <c r="J48" s="1083" t="s">
        <v>874</v>
      </c>
      <c r="K48" s="1084">
        <f>'Input-Output'!BE46</f>
        <v>720</v>
      </c>
      <c r="L48" s="1073" t="s">
        <v>885</v>
      </c>
      <c r="M48" s="1085"/>
      <c r="N48" s="1086"/>
      <c r="O48" s="1081">
        <f>'Input-Output'!BE47</f>
        <v>9720</v>
      </c>
      <c r="P48" s="1087" t="s">
        <v>869</v>
      </c>
      <c r="Q48" s="1088"/>
      <c r="R48" s="1093">
        <f>'Input-Output'!BE45</f>
        <v>1262800</v>
      </c>
      <c r="S48" s="1087" t="s">
        <v>868</v>
      </c>
      <c r="T48" s="1089"/>
      <c r="U48" s="1090">
        <f>'Input-Output'!BE50</f>
        <v>65</v>
      </c>
      <c r="W48" s="1111" t="s">
        <v>103</v>
      </c>
      <c r="X48" s="1112"/>
      <c r="Y48" s="1112"/>
      <c r="Z48" s="1113">
        <f>'Input-Output'!BE32</f>
        <v>2.5000000000000001E-2</v>
      </c>
      <c r="AA48" s="35" t="s">
        <v>102</v>
      </c>
      <c r="AB48" s="10"/>
      <c r="AC48" s="1057">
        <f>'Input-Output'!BE31</f>
        <v>0.65</v>
      </c>
      <c r="AF48" s="1166" t="str">
        <f>B48</f>
        <v>Section &gt;&gt;</v>
      </c>
      <c r="AG48" s="1104"/>
      <c r="AH48" s="1105" t="str">
        <f>D48</f>
        <v>4-Ofc</v>
      </c>
      <c r="AI48" s="1104" t="str">
        <f>E48</f>
        <v>Flrs/S</v>
      </c>
      <c r="AJ48" s="1106">
        <f>F48</f>
        <v>41</v>
      </c>
      <c r="AK48" s="1207">
        <f>SUM(AK49:AK63)</f>
        <v>15</v>
      </c>
      <c r="AL48" s="1114" t="s">
        <v>112</v>
      </c>
      <c r="AM48" s="1115"/>
      <c r="AN48" s="1116">
        <f>'Input-Output'!BE55</f>
        <v>7.8440400000000006</v>
      </c>
      <c r="AO48" s="1114" t="s">
        <v>882</v>
      </c>
      <c r="AP48" s="1117"/>
      <c r="AQ48" s="1118"/>
      <c r="AR48" s="1080">
        <f xml:space="preserve"> (SUM(AQ49:AQ63)/AK48) * AJ48</f>
        <v>10926.161502555089</v>
      </c>
      <c r="AS48" s="1114" t="s">
        <v>884</v>
      </c>
      <c r="AT48" s="1117"/>
      <c r="AU48" s="1118"/>
      <c r="AV48" s="1148">
        <f xml:space="preserve"> (SUM(AV49:AV63)/AK48) * AJ48</f>
        <v>13408.336586176532</v>
      </c>
    </row>
    <row r="49" spans="2:48" ht="21" customHeight="1">
      <c r="B49" s="1168">
        <f>'Input-Output'!BK44</f>
        <v>28</v>
      </c>
      <c r="C49" s="19">
        <f>'Input-Output'!BL44</f>
        <v>41</v>
      </c>
      <c r="D49" s="1188">
        <f>'Input-Output'!BM44</f>
        <v>53</v>
      </c>
      <c r="E49" s="19">
        <f>'Input-Output'!BN44</f>
        <v>1257.5</v>
      </c>
      <c r="F49" s="19">
        <f>'Input-Output'!BO44</f>
        <v>383.286</v>
      </c>
      <c r="G49" s="20">
        <f t="shared" ref="G49:G65" si="111">IF(E49="XX","XX",((101325*(1-2.25577*(10^(-5))*F49)^5.2555)/1000))</f>
        <v>96.804770839095966</v>
      </c>
      <c r="H49" s="20">
        <f t="shared" ref="H49:H65" si="112" xml:space="preserve"> IF(E49="XX", "XX", G49*$AJ$5)</f>
        <v>28.664379997244982</v>
      </c>
      <c r="I49" s="20">
        <f t="shared" ref="I49:I65" si="113">IF(E49="XX", "XX", G49*$AL$5)</f>
        <v>389.01633884183269</v>
      </c>
      <c r="J49" s="20">
        <f t="shared" ref="J49:J65" si="114" xml:space="preserve"> IF(E49="XX", "XX",G49*$AN$5)</f>
        <v>14.040339451858497</v>
      </c>
      <c r="K49" s="20">
        <f t="shared" ref="K49:K65" si="115" xml:space="preserve"> IF(E49="XX", "XX", ( $K$79 + $U$2 * (E49-$D$2)/$F$2 ) )</f>
        <v>18.680290297937354</v>
      </c>
      <c r="L49" s="27">
        <f t="shared" ref="L49:L65" si="116" xml:space="preserve"> IF(E49="XX", "XX", $L$79 - $AA$2*(E49-$E$79))</f>
        <v>-22.6967</v>
      </c>
      <c r="M49" s="17">
        <f t="shared" ref="M49:M65" si="117">IF(E49="XX","XX ", $M$79-$AC$2*(E49-$E$79))</f>
        <v>-21.772549999999999</v>
      </c>
      <c r="N49" s="22">
        <f t="shared" ref="N49:N65" si="118">IF(E49="XX","XX",100.45+33.193*AB49+2.319*AB49^2+0.17074*AB49^3+1.2063*(AA49*0.4897705)^3)</f>
        <v>-15.702752805994072</v>
      </c>
      <c r="O49" s="23">
        <f t="shared" ref="O49:O65" si="119">IF(E49="XX","XX ",((1093-0.556*M49)*X49-0.24*(L49-M49))/(1093+0.444*L49-M49))</f>
        <v>5.3359512560767551E-4</v>
      </c>
      <c r="P49" s="22">
        <f t="shared" ref="P49:P65" si="120" xml:space="preserve"> IF(E49="XX", "XX", ((O49/AC49)/(1-(1-(O49/AC49))*(Y49/J49)))*100)</f>
        <v>168.28118427416547</v>
      </c>
      <c r="Q49" s="102">
        <f t="shared" ref="Q49:Q65" si="121" xml:space="preserve"> IF(E49="XX", "XX", 0.7543*(T49*(1+1.6078*O49))/H49)</f>
        <v>11.509559420332902</v>
      </c>
      <c r="R49" s="106">
        <f t="shared" ref="R49:R65" si="122" xml:space="preserve"> IF(E49="XX", "XX", 1/Q49)</f>
        <v>8.688429882323645E-2</v>
      </c>
      <c r="S49" s="32">
        <f t="shared" ref="S49:S65" si="123">IF(E49="XX", "XX", 0.24*L49+O49*(1061+0.444*L49))</f>
        <v>-4.8864407884586525</v>
      </c>
      <c r="T49" s="24">
        <f t="shared" ref="T49:T65" si="124">IF(E49="XX", "XX", L49+459.7)</f>
        <v>437.00329999999997</v>
      </c>
      <c r="U49" s="66">
        <f t="shared" ref="U49:U65" si="125">IF(E49="XX", "XX", M49+459.7)</f>
        <v>437.92744999999996</v>
      </c>
      <c r="W49" s="1202">
        <f t="shared" ref="W49:W65" si="126" xml:space="preserve"> IF(E49="XX", "XX", EXP((-10440.397/U49)+(-11.29465) + (-0.027022355*U49) + (0.00001289036*U49*U49) + (-0.0000000024780681*U49^3)+(6.5459673*LN(U49))) )</f>
        <v>7.5061333941355973E-3</v>
      </c>
      <c r="X49" s="21">
        <f t="shared" ref="X49:X65" si="127">IF(E49="XX", "XX", 0.62198*W49/(J49-W49))</f>
        <v>3.326958100714731E-4</v>
      </c>
      <c r="Y49" s="23">
        <f t="shared" ref="Y49:Y65" si="128" xml:space="preserve"> IF(E49="XX", "XX", EXP((-10440.397/T49)+(-11.29465) + (-0.027022355*T49) + (0.00001289036*T49*T49) + (-0.0000000024780681*T49^3)+(6.5459673*LN(T49))) )</f>
        <v>7.1516303918140794E-3</v>
      </c>
      <c r="Z49" s="21">
        <f t="shared" ref="Z49:Z65" si="129">IF(E49="XX", "XX", Y49*2.041772658 )</f>
        <v>1.4602003394127816E-2</v>
      </c>
      <c r="AA49" s="21">
        <f t="shared" ref="AA49:AA65" si="130">IF(E49="XX", "XX", (H49*O49)/(0.62198+O49))</f>
        <v>2.4570023152682943E-2</v>
      </c>
      <c r="AB49" s="21">
        <f t="shared" ref="AB49:AB65" si="131">IF(E49="XX", "XX", LN(AA49*0.4897705))</f>
        <v>-4.4200465150770052</v>
      </c>
      <c r="AC49" s="70">
        <f t="shared" ref="AC49:AC65" si="132">IF(E49="XX", "XX", 0.62198*(Y49/(J49-Y49)))</f>
        <v>3.1697509701224957E-4</v>
      </c>
      <c r="AF49" s="1168">
        <f t="shared" ref="AF49:AJ65" si="133">B49</f>
        <v>28</v>
      </c>
      <c r="AG49" s="19">
        <f t="shared" si="133"/>
        <v>41</v>
      </c>
      <c r="AH49" s="1188">
        <f t="shared" si="133"/>
        <v>53</v>
      </c>
      <c r="AI49" s="19">
        <f t="shared" si="133"/>
        <v>1257.5</v>
      </c>
      <c r="AJ49" s="1100">
        <f t="shared" si="133"/>
        <v>383.286</v>
      </c>
      <c r="AK49" s="1146">
        <f t="shared" ref="AK49:AK65" si="134">IF( (AG49&gt;0),1, 0)</f>
        <v>1</v>
      </c>
      <c r="AL49" s="97">
        <f t="shared" ref="AL49:AL65" si="135" xml:space="preserve"> IF(D49="XX", "XX", E49- $D$2)</f>
        <v>757.5</v>
      </c>
      <c r="AM49" s="75">
        <f t="shared" ref="AM49:AM65" si="136" xml:space="preserve"> IF(D49="XX", "XX", $AP$5 * R49 * (T49-$T$5)/$T$5 * $AR$5 * ($H$2-AL49))</f>
        <v>3.1455781574351159E-2</v>
      </c>
      <c r="AN49" s="75">
        <f t="shared" ref="AN49:AN65" si="137" xml:space="preserve"> IF(D49="XX", "XX", $AT$5 * $AP$6^2 * $AT$6 * R49 * K49^2/2)</f>
        <v>2.0495345253542358E-3</v>
      </c>
      <c r="AO49" s="75">
        <f t="shared" ref="AO49:AO65" si="138" xml:space="preserve"> IF(D49="XX", "XX", AM49 +AN49)</f>
        <v>3.3505316099705397E-2</v>
      </c>
      <c r="AP49" s="75">
        <f xml:space="preserve"> IF(D49="XX", "XX", AO49 +$Z$48)</f>
        <v>5.8505316099705398E-2</v>
      </c>
      <c r="AQ49" s="12">
        <f xml:space="preserve"> IF(D49="XX", 0, 60 * ($AC$48 * $AN$48 * (2 * ABS(AP49)/R49)^0.5))</f>
        <v>355.01476795675603</v>
      </c>
      <c r="AR49" s="13" t="str">
        <f t="shared" ref="AR49:AR65" si="139">IF(D49="XX", "XX", IF(AP49&lt;0, "Exfl", "Infl"))</f>
        <v>Infl</v>
      </c>
      <c r="AS49" s="12">
        <f t="shared" ref="AS49:AS65" si="140" xml:space="preserve"> IF(AR49="Infl", -AQ49, AQ49)</f>
        <v>-355.01476795675603</v>
      </c>
      <c r="AT49" s="98">
        <f>IF(D49="XX", "XX", AS49/$O$48)</f>
        <v>-3.6524153081970788E-2</v>
      </c>
      <c r="AU49" s="12">
        <f t="shared" ref="AU49:AU65" si="141">IF(D49="XX", "XX", AS49*1.08*(L49-$L$6))</f>
        <v>37458.47298309207</v>
      </c>
      <c r="AV49" s="1047">
        <f t="shared" ref="AV49:AV65" si="142" xml:space="preserve"> IF(D49="XX", 0, AS49 * 1.08 * 3000/1000)</f>
        <v>-1150.2478481798896</v>
      </c>
    </row>
    <row r="50" spans="2:48" ht="21" customHeight="1">
      <c r="B50" s="1168">
        <f>'Input-Output'!BK45</f>
        <v>27</v>
      </c>
      <c r="C50" s="19">
        <f>'Input-Output'!BL45</f>
        <v>39</v>
      </c>
      <c r="D50" s="1188">
        <f>'Input-Output'!BM45</f>
        <v>51</v>
      </c>
      <c r="E50" s="19">
        <f>'Input-Output'!BN45</f>
        <v>1230.5</v>
      </c>
      <c r="F50" s="19">
        <f>'Input-Output'!BO45</f>
        <v>375.0564</v>
      </c>
      <c r="G50" s="20">
        <f t="shared" si="111"/>
        <v>96.900078683232735</v>
      </c>
      <c r="H50" s="20">
        <f t="shared" si="112"/>
        <v>28.692601129709573</v>
      </c>
      <c r="I50" s="20">
        <f t="shared" si="113"/>
        <v>389.39933968226256</v>
      </c>
      <c r="J50" s="20">
        <f t="shared" si="114"/>
        <v>14.054162680533139</v>
      </c>
      <c r="K50" s="20">
        <f t="shared" si="115"/>
        <v>18.370893812070282</v>
      </c>
      <c r="L50" s="27">
        <f t="shared" si="116"/>
        <v>-22.600580000000001</v>
      </c>
      <c r="M50" s="17">
        <f t="shared" si="117"/>
        <v>-21.70937</v>
      </c>
      <c r="N50" s="22">
        <f t="shared" si="118"/>
        <v>-15.953455365504315</v>
      </c>
      <c r="O50" s="23">
        <f t="shared" si="119"/>
        <v>5.2720980823517394E-4</v>
      </c>
      <c r="P50" s="22">
        <f t="shared" si="120"/>
        <v>165.59570962325955</v>
      </c>
      <c r="Q50" s="102">
        <f t="shared" si="121"/>
        <v>11.500650080683711</v>
      </c>
      <c r="R50" s="106">
        <f t="shared" si="122"/>
        <v>8.6951606473062104E-2</v>
      </c>
      <c r="S50" s="32">
        <f t="shared" si="123"/>
        <v>-4.8700599633293056</v>
      </c>
      <c r="T50" s="24">
        <f t="shared" si="124"/>
        <v>437.09942000000001</v>
      </c>
      <c r="U50" s="66">
        <f t="shared" si="125"/>
        <v>437.99063000000001</v>
      </c>
      <c r="W50" s="1202">
        <f t="shared" si="126"/>
        <v>7.5309392585849993E-3</v>
      </c>
      <c r="X50" s="21">
        <f t="shared" si="127"/>
        <v>3.3346738822026496E-4</v>
      </c>
      <c r="Y50" s="23">
        <f t="shared" si="128"/>
        <v>7.1877835634508603E-3</v>
      </c>
      <c r="Z50" s="21">
        <f t="shared" si="129"/>
        <v>1.4675819951475776E-2</v>
      </c>
      <c r="AA50" s="21">
        <f t="shared" si="130"/>
        <v>2.430015347777648E-2</v>
      </c>
      <c r="AB50" s="21">
        <f t="shared" si="131"/>
        <v>-4.4310909776403502</v>
      </c>
      <c r="AC50" s="70">
        <f t="shared" si="132"/>
        <v>3.182647974803178E-4</v>
      </c>
      <c r="AF50" s="1168">
        <f t="shared" si="133"/>
        <v>27</v>
      </c>
      <c r="AG50" s="19">
        <f t="shared" si="133"/>
        <v>39</v>
      </c>
      <c r="AH50" s="1188">
        <f t="shared" si="133"/>
        <v>51</v>
      </c>
      <c r="AI50" s="19">
        <f t="shared" si="133"/>
        <v>1230.5</v>
      </c>
      <c r="AJ50" s="1100">
        <f t="shared" si="133"/>
        <v>375.0564</v>
      </c>
      <c r="AK50" s="1146">
        <f t="shared" si="134"/>
        <v>1</v>
      </c>
      <c r="AL50" s="97">
        <f t="shared" si="135"/>
        <v>730.5</v>
      </c>
      <c r="AM50" s="75">
        <f t="shared" si="136"/>
        <v>2.3205218484356561E-2</v>
      </c>
      <c r="AN50" s="75">
        <f t="shared" si="137"/>
        <v>1.983740590928281E-3</v>
      </c>
      <c r="AO50" s="75">
        <f t="shared" si="138"/>
        <v>2.5188959075284841E-2</v>
      </c>
      <c r="AP50" s="75">
        <f t="shared" ref="AP50:AP65" si="143" xml:space="preserve"> IF(D50="XX", "XX", AO50 +$Z$48)</f>
        <v>5.0188959075284839E-2</v>
      </c>
      <c r="AQ50" s="12">
        <f t="shared" ref="AQ50:AQ65" si="144" xml:space="preserve"> IF(D50="XX", 0, 60 * ($AC$48 * $AN$48 * (2 * ABS(AP50)/R50)^0.5))</f>
        <v>328.68863938949909</v>
      </c>
      <c r="AR50" s="13" t="str">
        <f t="shared" si="139"/>
        <v>Infl</v>
      </c>
      <c r="AS50" s="12">
        <f t="shared" si="140"/>
        <v>-328.68863938949909</v>
      </c>
      <c r="AT50" s="98">
        <f t="shared" ref="AT50:AT65" si="145">IF(D50="XX", "XX", AS50/$O$48)</f>
        <v>-3.3815703640894965E-2</v>
      </c>
      <c r="AU50" s="12">
        <f t="shared" si="141"/>
        <v>34646.617991332037</v>
      </c>
      <c r="AV50" s="1047">
        <f t="shared" si="142"/>
        <v>-1064.9511916219772</v>
      </c>
    </row>
    <row r="51" spans="2:48" ht="21" customHeight="1">
      <c r="B51" s="1168">
        <f>'Input-Output'!BK46</f>
        <v>26</v>
      </c>
      <c r="C51" s="19">
        <f>'Input-Output'!BL46</f>
        <v>35</v>
      </c>
      <c r="D51" s="1188">
        <f>'Input-Output'!BM46</f>
        <v>47</v>
      </c>
      <c r="E51" s="19">
        <f>'Input-Output'!BN46</f>
        <v>1176.5</v>
      </c>
      <c r="F51" s="19">
        <f>'Input-Output'!BO46</f>
        <v>358.59720000000004</v>
      </c>
      <c r="G51" s="20">
        <f t="shared" si="111"/>
        <v>97.090922313972158</v>
      </c>
      <c r="H51" s="20">
        <f t="shared" si="112"/>
        <v>28.749110889550455</v>
      </c>
      <c r="I51" s="20">
        <f t="shared" si="113"/>
        <v>390.16625736491409</v>
      </c>
      <c r="J51" s="20">
        <f t="shared" si="114"/>
        <v>14.081842198129026</v>
      </c>
      <c r="K51" s="20">
        <f t="shared" si="115"/>
        <v>17.752100840336134</v>
      </c>
      <c r="L51" s="27">
        <f t="shared" si="116"/>
        <v>-22.408339999999999</v>
      </c>
      <c r="M51" s="17">
        <f t="shared" si="117"/>
        <v>-21.583010000000002</v>
      </c>
      <c r="N51" s="22">
        <f t="shared" si="118"/>
        <v>-16.464748588971315</v>
      </c>
      <c r="O51" s="23">
        <f t="shared" si="119"/>
        <v>5.1444282019018318E-4</v>
      </c>
      <c r="P51" s="22">
        <f t="shared" si="120"/>
        <v>160.28373099327516</v>
      </c>
      <c r="Q51" s="102">
        <f t="shared" si="121"/>
        <v>11.482856829133217</v>
      </c>
      <c r="R51" s="106">
        <f t="shared" si="122"/>
        <v>8.7086342264835581E-2</v>
      </c>
      <c r="S51" s="32">
        <f t="shared" si="123"/>
        <v>-4.8372961152518839</v>
      </c>
      <c r="T51" s="24">
        <f t="shared" si="124"/>
        <v>437.29165999999998</v>
      </c>
      <c r="U51" s="66">
        <f t="shared" si="125"/>
        <v>438.11698999999999</v>
      </c>
      <c r="W51" s="1202">
        <f t="shared" si="126"/>
        <v>7.5807732842573597E-3</v>
      </c>
      <c r="X51" s="21">
        <f t="shared" si="127"/>
        <v>3.350150480379042E-4</v>
      </c>
      <c r="Y51" s="23">
        <f t="shared" si="128"/>
        <v>7.2605857976641135E-3</v>
      </c>
      <c r="Z51" s="21">
        <f t="shared" si="129"/>
        <v>1.4824465562733709E-2</v>
      </c>
      <c r="AA51" s="21">
        <f t="shared" si="130"/>
        <v>2.3758884684939627E-2</v>
      </c>
      <c r="AB51" s="21">
        <f t="shared" si="131"/>
        <v>-4.453617091401644</v>
      </c>
      <c r="AC51" s="70">
        <f t="shared" si="132"/>
        <v>3.2085779022194953E-4</v>
      </c>
      <c r="AF51" s="1168">
        <f t="shared" si="133"/>
        <v>26</v>
      </c>
      <c r="AG51" s="19">
        <f t="shared" si="133"/>
        <v>35</v>
      </c>
      <c r="AH51" s="1188">
        <f t="shared" si="133"/>
        <v>47</v>
      </c>
      <c r="AI51" s="19">
        <f t="shared" si="133"/>
        <v>1176.5</v>
      </c>
      <c r="AJ51" s="1100">
        <f t="shared" si="133"/>
        <v>358.59720000000004</v>
      </c>
      <c r="AK51" s="1146">
        <f t="shared" si="134"/>
        <v>1</v>
      </c>
      <c r="AL51" s="97">
        <f t="shared" si="135"/>
        <v>676.5</v>
      </c>
      <c r="AM51" s="75">
        <f t="shared" si="136"/>
        <v>6.7144575725879077E-3</v>
      </c>
      <c r="AN51" s="75">
        <f t="shared" si="137"/>
        <v>1.8552235921765272E-3</v>
      </c>
      <c r="AO51" s="75">
        <f t="shared" si="138"/>
        <v>8.5696811647644356E-3</v>
      </c>
      <c r="AP51" s="75">
        <f t="shared" si="143"/>
        <v>3.3569681164764435E-2</v>
      </c>
      <c r="AQ51" s="12">
        <f t="shared" si="144"/>
        <v>268.60740904998841</v>
      </c>
      <c r="AR51" s="13" t="str">
        <f t="shared" si="139"/>
        <v>Infl</v>
      </c>
      <c r="AS51" s="12">
        <f t="shared" si="140"/>
        <v>-268.60740904998841</v>
      </c>
      <c r="AT51" s="98">
        <f t="shared" si="145"/>
        <v>-2.7634507103908273E-2</v>
      </c>
      <c r="AU51" s="12">
        <f t="shared" si="141"/>
        <v>28257.769973441176</v>
      </c>
      <c r="AV51" s="1047">
        <f t="shared" si="142"/>
        <v>-870.28800532196249</v>
      </c>
    </row>
    <row r="52" spans="2:48" ht="21" customHeight="1">
      <c r="B52" s="1168">
        <f>'Input-Output'!BK47</f>
        <v>25</v>
      </c>
      <c r="C52" s="19">
        <f>'Input-Output'!BL47</f>
        <v>31</v>
      </c>
      <c r="D52" s="1188">
        <f>'Input-Output'!BM47</f>
        <v>43</v>
      </c>
      <c r="E52" s="19">
        <f>'Input-Output'!BN47</f>
        <v>1122.5</v>
      </c>
      <c r="F52" s="19">
        <f>'Input-Output'!BO47</f>
        <v>342.13800000000003</v>
      </c>
      <c r="G52" s="20">
        <f t="shared" si="111"/>
        <v>97.282070176840506</v>
      </c>
      <c r="H52" s="20">
        <f t="shared" si="112"/>
        <v>28.805710734056326</v>
      </c>
      <c r="I52" s="20">
        <f t="shared" si="113"/>
        <v>390.93439762438629</v>
      </c>
      <c r="J52" s="20">
        <f t="shared" si="114"/>
        <v>14.109565840847315</v>
      </c>
      <c r="K52" s="20">
        <f t="shared" si="115"/>
        <v>17.133307868601985</v>
      </c>
      <c r="L52" s="27">
        <f t="shared" si="116"/>
        <v>-22.216100000000001</v>
      </c>
      <c r="M52" s="17">
        <f t="shared" si="117"/>
        <v>-21.45665</v>
      </c>
      <c r="N52" s="22">
        <f t="shared" si="118"/>
        <v>-16.989781890399282</v>
      </c>
      <c r="O52" s="23">
        <f t="shared" si="119"/>
        <v>5.0168070908250301E-4</v>
      </c>
      <c r="P52" s="22">
        <f t="shared" si="120"/>
        <v>155.04950805267498</v>
      </c>
      <c r="Q52" s="102">
        <f t="shared" si="121"/>
        <v>11.465097417845778</v>
      </c>
      <c r="R52" s="106">
        <f t="shared" si="122"/>
        <v>8.7221238822050406E-2</v>
      </c>
      <c r="S52" s="32">
        <f t="shared" si="123"/>
        <v>-4.8045293202911301</v>
      </c>
      <c r="T52" s="24">
        <f t="shared" si="124"/>
        <v>437.48390000000001</v>
      </c>
      <c r="U52" s="66">
        <f t="shared" si="125"/>
        <v>438.24334999999996</v>
      </c>
      <c r="W52" s="1202">
        <f t="shared" si="126"/>
        <v>7.6309050125774099E-3</v>
      </c>
      <c r="X52" s="21">
        <f t="shared" si="127"/>
        <v>3.365687277184952E-4</v>
      </c>
      <c r="Y52" s="23">
        <f t="shared" si="128"/>
        <v>7.3340536831393716E-3</v>
      </c>
      <c r="Z52" s="21">
        <f t="shared" si="129"/>
        <v>1.4974470282538167E-2</v>
      </c>
      <c r="AA52" s="21">
        <f t="shared" si="130"/>
        <v>2.3215573782388407E-2</v>
      </c>
      <c r="AB52" s="21">
        <f t="shared" si="131"/>
        <v>-4.4767503067390217</v>
      </c>
      <c r="AC52" s="70">
        <f t="shared" si="132"/>
        <v>3.234689926165458E-4</v>
      </c>
      <c r="AF52" s="1168">
        <f t="shared" si="133"/>
        <v>25</v>
      </c>
      <c r="AG52" s="19">
        <f t="shared" si="133"/>
        <v>31</v>
      </c>
      <c r="AH52" s="1188">
        <f t="shared" si="133"/>
        <v>43</v>
      </c>
      <c r="AI52" s="19">
        <f t="shared" si="133"/>
        <v>1122.5</v>
      </c>
      <c r="AJ52" s="1100">
        <f t="shared" si="133"/>
        <v>342.13800000000003</v>
      </c>
      <c r="AK52" s="1146">
        <f t="shared" si="134"/>
        <v>1</v>
      </c>
      <c r="AL52" s="97">
        <f t="shared" si="135"/>
        <v>622.5</v>
      </c>
      <c r="AM52" s="75">
        <f t="shared" si="136"/>
        <v>-9.7623075269616891E-3</v>
      </c>
      <c r="AN52" s="75">
        <f t="shared" si="137"/>
        <v>1.7308179251128216E-3</v>
      </c>
      <c r="AO52" s="75">
        <f t="shared" si="138"/>
        <v>-8.0314896018488669E-3</v>
      </c>
      <c r="AP52" s="75">
        <f t="shared" si="143"/>
        <v>1.6968510398151136E-2</v>
      </c>
      <c r="AQ52" s="12">
        <f t="shared" si="144"/>
        <v>190.82274485219705</v>
      </c>
      <c r="AR52" s="13" t="str">
        <f t="shared" si="139"/>
        <v>Infl</v>
      </c>
      <c r="AS52" s="12">
        <f t="shared" si="140"/>
        <v>-190.82274485219705</v>
      </c>
      <c r="AT52" s="98">
        <f t="shared" si="145"/>
        <v>-1.9631969634999698E-2</v>
      </c>
      <c r="AU52" s="12">
        <f t="shared" si="141"/>
        <v>20035.126489491729</v>
      </c>
      <c r="AV52" s="1047">
        <f t="shared" si="142"/>
        <v>-618.26569332111853</v>
      </c>
    </row>
    <row r="53" spans="2:48" ht="21" customHeight="1">
      <c r="B53" s="1168">
        <f>'Input-Output'!BK48</f>
        <v>24</v>
      </c>
      <c r="C53" s="19">
        <f>'Input-Output'!BL48</f>
        <v>28</v>
      </c>
      <c r="D53" s="1188">
        <f>'Input-Output'!BM48</f>
        <v>40</v>
      </c>
      <c r="E53" s="19">
        <f>'Input-Output'!BN48</f>
        <v>1082</v>
      </c>
      <c r="F53" s="19">
        <f>'Input-Output'!BO48</f>
        <v>329.79360000000003</v>
      </c>
      <c r="G53" s="20">
        <f t="shared" si="111"/>
        <v>97.425630949423919</v>
      </c>
      <c r="H53" s="20">
        <f t="shared" si="112"/>
        <v>28.848219801557441</v>
      </c>
      <c r="I53" s="20">
        <f t="shared" si="113"/>
        <v>391.51130603156105</v>
      </c>
      <c r="J53" s="20">
        <f t="shared" si="114"/>
        <v>14.130387562355157</v>
      </c>
      <c r="K53" s="20">
        <f t="shared" si="115"/>
        <v>16.669213139801375</v>
      </c>
      <c r="L53" s="27">
        <f t="shared" si="116"/>
        <v>-22.071919999999999</v>
      </c>
      <c r="M53" s="17">
        <f t="shared" si="117"/>
        <v>-21.361879999999999</v>
      </c>
      <c r="N53" s="22">
        <f t="shared" si="118"/>
        <v>-17.393000501541138</v>
      </c>
      <c r="O53" s="23">
        <f t="shared" si="119"/>
        <v>4.9211233684861363E-4</v>
      </c>
      <c r="P53" s="22">
        <f t="shared" si="120"/>
        <v>151.17424545792301</v>
      </c>
      <c r="Q53" s="102">
        <f t="shared" si="121"/>
        <v>11.451800021381905</v>
      </c>
      <c r="R53" s="106">
        <f t="shared" si="122"/>
        <v>8.7322516821187787E-2</v>
      </c>
      <c r="S53" s="32">
        <f t="shared" si="123"/>
        <v>-4.7799522782773121</v>
      </c>
      <c r="T53" s="24">
        <f t="shared" si="124"/>
        <v>437.62808000000001</v>
      </c>
      <c r="U53" s="66">
        <f t="shared" si="125"/>
        <v>438.33812</v>
      </c>
      <c r="W53" s="1202">
        <f t="shared" si="126"/>
        <v>7.6687001231201483E-3</v>
      </c>
      <c r="X53" s="21">
        <f t="shared" si="127"/>
        <v>3.3773794898190202E-4</v>
      </c>
      <c r="Y53" s="23">
        <f t="shared" si="128"/>
        <v>7.3895946710894663E-3</v>
      </c>
      <c r="Z53" s="21">
        <f t="shared" si="129"/>
        <v>1.5087872353132976E-2</v>
      </c>
      <c r="AA53" s="21">
        <f t="shared" si="130"/>
        <v>2.2806748413468619E-2</v>
      </c>
      <c r="AB53" s="21">
        <f t="shared" si="131"/>
        <v>-4.4945171687118632</v>
      </c>
      <c r="AC53" s="70">
        <f t="shared" si="132"/>
        <v>3.254394076980754E-4</v>
      </c>
      <c r="AF53" s="1168">
        <f t="shared" si="133"/>
        <v>24</v>
      </c>
      <c r="AG53" s="19">
        <f t="shared" si="133"/>
        <v>28</v>
      </c>
      <c r="AH53" s="1188">
        <f t="shared" si="133"/>
        <v>40</v>
      </c>
      <c r="AI53" s="19">
        <f t="shared" si="133"/>
        <v>1082</v>
      </c>
      <c r="AJ53" s="1100">
        <f t="shared" si="133"/>
        <v>329.79360000000003</v>
      </c>
      <c r="AK53" s="1146">
        <f t="shared" si="134"/>
        <v>1</v>
      </c>
      <c r="AL53" s="97">
        <f t="shared" si="135"/>
        <v>582</v>
      </c>
      <c r="AM53" s="75">
        <f t="shared" si="136"/>
        <v>-2.2110569639936586E-2</v>
      </c>
      <c r="AN53" s="75">
        <f t="shared" si="137"/>
        <v>1.64022391535457E-3</v>
      </c>
      <c r="AO53" s="75">
        <f t="shared" si="138"/>
        <v>-2.0470345724582017E-2</v>
      </c>
      <c r="AP53" s="75">
        <f t="shared" si="143"/>
        <v>4.5296542754179846E-3</v>
      </c>
      <c r="AQ53" s="12">
        <f t="shared" si="144"/>
        <v>98.534611860297289</v>
      </c>
      <c r="AR53" s="13" t="str">
        <f t="shared" si="139"/>
        <v>Infl</v>
      </c>
      <c r="AS53" s="12">
        <f t="shared" si="140"/>
        <v>-98.534611860297289</v>
      </c>
      <c r="AT53" s="98">
        <f t="shared" si="145"/>
        <v>-1.0137305746944165E-2</v>
      </c>
      <c r="AU53" s="12">
        <f t="shared" si="141"/>
        <v>10330.139476512537</v>
      </c>
      <c r="AV53" s="1047">
        <f t="shared" si="142"/>
        <v>-319.25214242736325</v>
      </c>
    </row>
    <row r="54" spans="2:48" ht="21" customHeight="1">
      <c r="B54" s="1168">
        <f>'Input-Output'!BK49</f>
        <v>23</v>
      </c>
      <c r="C54" s="19">
        <f>'Input-Output'!BL49</f>
        <v>26</v>
      </c>
      <c r="D54" s="1188">
        <f>'Input-Output'!BM49</f>
        <v>38</v>
      </c>
      <c r="E54" s="19">
        <f>'Input-Output'!BN49</f>
        <v>1055</v>
      </c>
      <c r="F54" s="19">
        <f>'Input-Output'!BO49</f>
        <v>321.56400000000002</v>
      </c>
      <c r="G54" s="20">
        <f t="shared" si="111"/>
        <v>97.521433396904129</v>
      </c>
      <c r="H54" s="20">
        <f t="shared" si="112"/>
        <v>28.876587388562047</v>
      </c>
      <c r="I54" s="20">
        <f t="shared" si="113"/>
        <v>391.8962944680585</v>
      </c>
      <c r="J54" s="20">
        <f t="shared" si="114"/>
        <v>14.144282527151642</v>
      </c>
      <c r="K54" s="20">
        <f t="shared" si="115"/>
        <v>16.359816653934303</v>
      </c>
      <c r="L54" s="27">
        <f t="shared" si="116"/>
        <v>-21.9758</v>
      </c>
      <c r="M54" s="17">
        <f t="shared" si="117"/>
        <v>-21.2987</v>
      </c>
      <c r="N54" s="22">
        <f t="shared" si="118"/>
        <v>-17.666486801345396</v>
      </c>
      <c r="O54" s="23">
        <f t="shared" si="119"/>
        <v>4.8573495525866257E-4</v>
      </c>
      <c r="P54" s="22">
        <f t="shared" si="120"/>
        <v>148.61449933179912</v>
      </c>
      <c r="Q54" s="102">
        <f t="shared" si="121"/>
        <v>11.442945625983802</v>
      </c>
      <c r="R54" s="106">
        <f t="shared" si="122"/>
        <v>8.7390085794803868E-2</v>
      </c>
      <c r="S54" s="32">
        <f t="shared" si="123"/>
        <v>-4.7635666523885778</v>
      </c>
      <c r="T54" s="24">
        <f t="shared" si="124"/>
        <v>437.7242</v>
      </c>
      <c r="U54" s="66">
        <f t="shared" si="125"/>
        <v>438.40129999999999</v>
      </c>
      <c r="W54" s="1202">
        <f t="shared" si="126"/>
        <v>7.6939907167828166E-3</v>
      </c>
      <c r="X54" s="21">
        <f t="shared" si="127"/>
        <v>3.3851932053413538E-4</v>
      </c>
      <c r="Y54" s="23">
        <f t="shared" si="128"/>
        <v>7.4268328249117522E-3</v>
      </c>
      <c r="Z54" s="21">
        <f t="shared" si="129"/>
        <v>1.5163904197441718E-2</v>
      </c>
      <c r="AA54" s="21">
        <f t="shared" si="130"/>
        <v>2.2533558227448822E-2</v>
      </c>
      <c r="AB54" s="21">
        <f t="shared" si="131"/>
        <v>-4.5065679690856992</v>
      </c>
      <c r="AC54" s="70">
        <f t="shared" si="132"/>
        <v>3.2675876307433784E-4</v>
      </c>
      <c r="AF54" s="1168">
        <f t="shared" si="133"/>
        <v>23</v>
      </c>
      <c r="AG54" s="19">
        <f t="shared" si="133"/>
        <v>26</v>
      </c>
      <c r="AH54" s="1188">
        <f t="shared" si="133"/>
        <v>38</v>
      </c>
      <c r="AI54" s="19">
        <f t="shared" si="133"/>
        <v>1055</v>
      </c>
      <c r="AJ54" s="1100">
        <f t="shared" si="133"/>
        <v>321.56400000000002</v>
      </c>
      <c r="AK54" s="1146">
        <f t="shared" si="134"/>
        <v>1</v>
      </c>
      <c r="AL54" s="97">
        <f t="shared" si="135"/>
        <v>555</v>
      </c>
      <c r="AM54" s="75">
        <f t="shared" si="136"/>
        <v>-3.0338260650160171E-2</v>
      </c>
      <c r="AN54" s="75">
        <f t="shared" si="137"/>
        <v>1.5811232540649163E-3</v>
      </c>
      <c r="AO54" s="75">
        <f t="shared" si="138"/>
        <v>-2.8757137396095256E-2</v>
      </c>
      <c r="AP54" s="75">
        <f t="shared" si="143"/>
        <v>-3.7571373960952545E-3</v>
      </c>
      <c r="AQ54" s="12">
        <f t="shared" si="144"/>
        <v>89.705043319821229</v>
      </c>
      <c r="AR54" s="13" t="str">
        <f t="shared" si="139"/>
        <v>Exfl</v>
      </c>
      <c r="AS54" s="12">
        <f t="shared" si="140"/>
        <v>89.705043319821229</v>
      </c>
      <c r="AT54" s="98">
        <f t="shared" si="145"/>
        <v>9.2289139217923075E-3</v>
      </c>
      <c r="AU54" s="12">
        <f t="shared" si="141"/>
        <v>-9395.1558071722648</v>
      </c>
      <c r="AV54" s="1047">
        <f t="shared" si="142"/>
        <v>290.64434035622077</v>
      </c>
    </row>
    <row r="55" spans="2:48" ht="21" customHeight="1">
      <c r="B55" s="1168">
        <f>'Input-Output'!BK50</f>
        <v>22</v>
      </c>
      <c r="C55" s="19">
        <f>'Input-Output'!BL50</f>
        <v>24</v>
      </c>
      <c r="D55" s="1188">
        <f>'Input-Output'!BM50</f>
        <v>36</v>
      </c>
      <c r="E55" s="19">
        <f>'Input-Output'!BN50</f>
        <v>1028</v>
      </c>
      <c r="F55" s="19">
        <f>'Input-Output'!BO50</f>
        <v>313.33440000000002</v>
      </c>
      <c r="G55" s="20">
        <f t="shared" si="111"/>
        <v>97.617312111143534</v>
      </c>
      <c r="H55" s="20">
        <f t="shared" si="112"/>
        <v>28.904977558538004</v>
      </c>
      <c r="I55" s="20">
        <f t="shared" si="113"/>
        <v>392.28158938754416</v>
      </c>
      <c r="J55" s="20">
        <f t="shared" si="114"/>
        <v>14.158188553502001</v>
      </c>
      <c r="K55" s="20">
        <f t="shared" si="115"/>
        <v>16.050420168067227</v>
      </c>
      <c r="L55" s="27">
        <f t="shared" si="116"/>
        <v>-21.87968</v>
      </c>
      <c r="M55" s="17">
        <f t="shared" si="117"/>
        <v>-21.235520000000001</v>
      </c>
      <c r="N55" s="22">
        <f t="shared" si="118"/>
        <v>-17.943828369727022</v>
      </c>
      <c r="O55" s="23">
        <f t="shared" si="119"/>
        <v>4.793588028335062E-4</v>
      </c>
      <c r="P55" s="22">
        <f t="shared" si="120"/>
        <v>146.07361510601737</v>
      </c>
      <c r="Q55" s="102">
        <f t="shared" si="121"/>
        <v>11.434099648019265</v>
      </c>
      <c r="R55" s="106">
        <f t="shared" si="122"/>
        <v>8.7457695033577088E-2</v>
      </c>
      <c r="S55" s="32">
        <f t="shared" si="123"/>
        <v>-4.7471802786354145</v>
      </c>
      <c r="T55" s="24">
        <f t="shared" si="124"/>
        <v>437.82031999999998</v>
      </c>
      <c r="U55" s="66">
        <f t="shared" si="125"/>
        <v>438.46447999999998</v>
      </c>
      <c r="W55" s="1202">
        <f t="shared" si="126"/>
        <v>7.7193566242139229E-3</v>
      </c>
      <c r="X55" s="21">
        <f t="shared" si="127"/>
        <v>3.3930220732100876E-4</v>
      </c>
      <c r="Y55" s="23">
        <f t="shared" si="128"/>
        <v>7.4642404352645219E-3</v>
      </c>
      <c r="Z55" s="21">
        <f t="shared" si="129"/>
        <v>1.5240282033461122E-2</v>
      </c>
      <c r="AA55" s="21">
        <f t="shared" si="130"/>
        <v>2.225985559127731E-2</v>
      </c>
      <c r="AB55" s="21">
        <f t="shared" si="131"/>
        <v>-4.5187887854624336</v>
      </c>
      <c r="AC55" s="70">
        <f t="shared" si="132"/>
        <v>3.2808273012843991E-4</v>
      </c>
      <c r="AF55" s="1168">
        <f t="shared" si="133"/>
        <v>22</v>
      </c>
      <c r="AG55" s="19">
        <f t="shared" si="133"/>
        <v>24</v>
      </c>
      <c r="AH55" s="1188">
        <f t="shared" si="133"/>
        <v>36</v>
      </c>
      <c r="AI55" s="19">
        <f t="shared" si="133"/>
        <v>1028</v>
      </c>
      <c r="AJ55" s="1100">
        <f t="shared" si="133"/>
        <v>313.33440000000002</v>
      </c>
      <c r="AK55" s="1146">
        <f t="shared" si="134"/>
        <v>1</v>
      </c>
      <c r="AL55" s="97">
        <f t="shared" si="135"/>
        <v>528</v>
      </c>
      <c r="AM55" s="75">
        <f t="shared" si="136"/>
        <v>-3.8562333760696059E-2</v>
      </c>
      <c r="AN55" s="75">
        <f t="shared" si="137"/>
        <v>1.523061832231813E-3</v>
      </c>
      <c r="AO55" s="75">
        <f t="shared" si="138"/>
        <v>-3.7039271928464249E-2</v>
      </c>
      <c r="AP55" s="75">
        <f t="shared" si="143"/>
        <v>-1.2039271928464247E-2</v>
      </c>
      <c r="AQ55" s="12">
        <f t="shared" si="144"/>
        <v>160.51680355053631</v>
      </c>
      <c r="AR55" s="13" t="str">
        <f t="shared" si="139"/>
        <v>Exfl</v>
      </c>
      <c r="AS55" s="12">
        <f t="shared" si="140"/>
        <v>160.51680355053631</v>
      </c>
      <c r="AT55" s="98">
        <f t="shared" si="145"/>
        <v>1.6514074439355587E-2</v>
      </c>
      <c r="AU55" s="12">
        <f t="shared" si="141"/>
        <v>-16794.881887606731</v>
      </c>
      <c r="AV55" s="1047">
        <f t="shared" si="142"/>
        <v>520.07444350373771</v>
      </c>
    </row>
    <row r="56" spans="2:48" ht="21" customHeight="1">
      <c r="B56" s="1168">
        <f>'Input-Output'!BK51</f>
        <v>21</v>
      </c>
      <c r="C56" s="19">
        <f>'Input-Output'!BL51</f>
        <v>25</v>
      </c>
      <c r="D56" s="1188">
        <f>'Input-Output'!BM51</f>
        <v>37</v>
      </c>
      <c r="E56" s="19">
        <f>'Input-Output'!BN51</f>
        <v>1041.5</v>
      </c>
      <c r="F56" s="19">
        <f>'Input-Output'!BO51</f>
        <v>317.44920000000002</v>
      </c>
      <c r="G56" s="20">
        <f t="shared" si="111"/>
        <v>97.569363217776953</v>
      </c>
      <c r="H56" s="20">
        <f t="shared" si="112"/>
        <v>28.890779649819315</v>
      </c>
      <c r="I56" s="20">
        <f t="shared" si="113"/>
        <v>392.08890360576601</v>
      </c>
      <c r="J56" s="20">
        <f t="shared" si="114"/>
        <v>14.151234157211691</v>
      </c>
      <c r="K56" s="20">
        <f t="shared" si="115"/>
        <v>16.205118411000765</v>
      </c>
      <c r="L56" s="27">
        <f t="shared" si="116"/>
        <v>-21.92774</v>
      </c>
      <c r="M56" s="17">
        <f t="shared" si="117"/>
        <v>-21.267109999999999</v>
      </c>
      <c r="N56" s="22">
        <f t="shared" si="118"/>
        <v>-17.804669267609782</v>
      </c>
      <c r="O56" s="23">
        <f t="shared" si="119"/>
        <v>4.825467252622393E-4</v>
      </c>
      <c r="P56" s="22">
        <f t="shared" si="120"/>
        <v>147.34170736565346</v>
      </c>
      <c r="Q56" s="102">
        <f t="shared" si="121"/>
        <v>11.438521585412586</v>
      </c>
      <c r="R56" s="106">
        <f t="shared" si="122"/>
        <v>8.742388538002048E-2</v>
      </c>
      <c r="S56" s="32">
        <f t="shared" si="123"/>
        <v>-4.7553735591502182</v>
      </c>
      <c r="T56" s="24">
        <f t="shared" si="124"/>
        <v>437.77225999999996</v>
      </c>
      <c r="U56" s="66">
        <f t="shared" si="125"/>
        <v>438.43288999999999</v>
      </c>
      <c r="W56" s="1202">
        <f t="shared" si="126"/>
        <v>7.7066642438743237E-3</v>
      </c>
      <c r="X56" s="21">
        <f t="shared" si="127"/>
        <v>3.3891057438027624E-4</v>
      </c>
      <c r="Y56" s="23">
        <f t="shared" si="128"/>
        <v>7.4455154053909853E-3</v>
      </c>
      <c r="Z56" s="21">
        <f t="shared" si="129"/>
        <v>1.5202049779445101E-2</v>
      </c>
      <c r="AA56" s="21">
        <f t="shared" si="130"/>
        <v>2.2396770992305973E-2</v>
      </c>
      <c r="AB56" s="21">
        <f t="shared" si="131"/>
        <v>-4.5126568475839068</v>
      </c>
      <c r="AC56" s="70">
        <f t="shared" si="132"/>
        <v>3.2742016931424294E-4</v>
      </c>
      <c r="AF56" s="1168">
        <f t="shared" si="133"/>
        <v>21</v>
      </c>
      <c r="AG56" s="19">
        <f t="shared" si="133"/>
        <v>25</v>
      </c>
      <c r="AH56" s="1188">
        <f t="shared" si="133"/>
        <v>37</v>
      </c>
      <c r="AI56" s="19">
        <f t="shared" si="133"/>
        <v>1041.5</v>
      </c>
      <c r="AJ56" s="1100">
        <f t="shared" si="133"/>
        <v>317.44920000000002</v>
      </c>
      <c r="AK56" s="1146">
        <f t="shared" si="134"/>
        <v>1</v>
      </c>
      <c r="AL56" s="97">
        <f t="shared" si="135"/>
        <v>541.5</v>
      </c>
      <c r="AM56" s="75">
        <f t="shared" si="136"/>
        <v>-3.4450751100836736E-2</v>
      </c>
      <c r="AN56" s="75">
        <f t="shared" si="137"/>
        <v>1.5519624793245226E-3</v>
      </c>
      <c r="AO56" s="75">
        <f t="shared" si="138"/>
        <v>-3.2898788621512215E-2</v>
      </c>
      <c r="AP56" s="75">
        <f t="shared" si="143"/>
        <v>-7.8987886215122136E-3</v>
      </c>
      <c r="AQ56" s="12">
        <f t="shared" si="144"/>
        <v>130.04228694960855</v>
      </c>
      <c r="AR56" s="13" t="str">
        <f t="shared" si="139"/>
        <v>Exfl</v>
      </c>
      <c r="AS56" s="12">
        <f t="shared" si="140"/>
        <v>130.04228694960855</v>
      </c>
      <c r="AT56" s="98">
        <f t="shared" si="145"/>
        <v>1.3378836105926805E-2</v>
      </c>
      <c r="AU56" s="12">
        <f t="shared" si="141"/>
        <v>-13613.081376733615</v>
      </c>
      <c r="AV56" s="1047">
        <f t="shared" si="142"/>
        <v>421.33700971673176</v>
      </c>
    </row>
    <row r="57" spans="2:48" ht="21" customHeight="1">
      <c r="B57" s="1168">
        <f>'Input-Output'!BK52</f>
        <v>20</v>
      </c>
      <c r="C57" s="19">
        <f>'Input-Output'!BL52</f>
        <v>22</v>
      </c>
      <c r="D57" s="1188">
        <f>'Input-Output'!BM52</f>
        <v>34</v>
      </c>
      <c r="E57" s="19">
        <f>'Input-Output'!BN52</f>
        <v>1001</v>
      </c>
      <c r="F57" s="19">
        <f>'Input-Output'!BO52</f>
        <v>305.10480000000001</v>
      </c>
      <c r="G57" s="20">
        <f t="shared" si="111"/>
        <v>97.713267138580662</v>
      </c>
      <c r="H57" s="20">
        <f t="shared" si="112"/>
        <v>28.933390325235997</v>
      </c>
      <c r="I57" s="20">
        <f t="shared" si="113"/>
        <v>392.66719097663429</v>
      </c>
      <c r="J57" s="20">
        <f t="shared" si="114"/>
        <v>14.172105648141573</v>
      </c>
      <c r="K57" s="20">
        <f t="shared" si="115"/>
        <v>15.741023682200153</v>
      </c>
      <c r="L57" s="27">
        <f t="shared" si="116"/>
        <v>-21.783560000000001</v>
      </c>
      <c r="M57" s="17">
        <f t="shared" si="117"/>
        <v>-21.172339999999998</v>
      </c>
      <c r="N57" s="22">
        <f t="shared" si="118"/>
        <v>-18.225129323562488</v>
      </c>
      <c r="O57" s="23">
        <f t="shared" si="119"/>
        <v>4.729838817858053E-4</v>
      </c>
      <c r="P57" s="22">
        <f t="shared" si="120"/>
        <v>143.55146694822804</v>
      </c>
      <c r="Q57" s="102">
        <f t="shared" si="121"/>
        <v>11.425262078048961</v>
      </c>
      <c r="R57" s="106">
        <f t="shared" si="122"/>
        <v>8.7525344553913753E-2</v>
      </c>
      <c r="S57" s="32">
        <f t="shared" si="123"/>
        <v>-4.730793154534215</v>
      </c>
      <c r="T57" s="24">
        <f t="shared" si="124"/>
        <v>437.91643999999997</v>
      </c>
      <c r="U57" s="66">
        <f t="shared" si="125"/>
        <v>438.52765999999997</v>
      </c>
      <c r="W57" s="1202">
        <f t="shared" si="126"/>
        <v>7.7447980440284699E-3</v>
      </c>
      <c r="X57" s="21">
        <f t="shared" si="127"/>
        <v>3.4008661163074325E-4</v>
      </c>
      <c r="Y57" s="23">
        <f t="shared" si="128"/>
        <v>7.5018181851272282E-3</v>
      </c>
      <c r="Z57" s="21">
        <f t="shared" si="129"/>
        <v>1.5317007255679959E-2</v>
      </c>
      <c r="AA57" s="21">
        <f t="shared" si="130"/>
        <v>2.1985640078244047E-2</v>
      </c>
      <c r="AB57" s="21">
        <f t="shared" si="131"/>
        <v>-4.5311841273995181</v>
      </c>
      <c r="AC57" s="70">
        <f t="shared" si="132"/>
        <v>3.2941132210965481E-4</v>
      </c>
      <c r="AF57" s="1168">
        <f t="shared" si="133"/>
        <v>20</v>
      </c>
      <c r="AG57" s="19">
        <f t="shared" si="133"/>
        <v>22</v>
      </c>
      <c r="AH57" s="1188">
        <f t="shared" si="133"/>
        <v>34</v>
      </c>
      <c r="AI57" s="19">
        <f t="shared" si="133"/>
        <v>1001</v>
      </c>
      <c r="AJ57" s="1100">
        <f t="shared" si="133"/>
        <v>305.10480000000001</v>
      </c>
      <c r="AK57" s="1146">
        <f t="shared" si="134"/>
        <v>1</v>
      </c>
      <c r="AL57" s="97">
        <f t="shared" si="135"/>
        <v>501</v>
      </c>
      <c r="AM57" s="75">
        <f t="shared" si="136"/>
        <v>-4.6782762429767887E-2</v>
      </c>
      <c r="AN57" s="75">
        <f t="shared" si="137"/>
        <v>1.4660421932797122E-3</v>
      </c>
      <c r="AO57" s="75">
        <f t="shared" si="138"/>
        <v>-4.5316720236488174E-2</v>
      </c>
      <c r="AP57" s="75">
        <f t="shared" si="143"/>
        <v>-2.0316720236488173E-2</v>
      </c>
      <c r="AQ57" s="12">
        <f t="shared" si="144"/>
        <v>208.43914839809082</v>
      </c>
      <c r="AR57" s="13" t="str">
        <f t="shared" si="139"/>
        <v>Exfl</v>
      </c>
      <c r="AS57" s="12">
        <f t="shared" si="140"/>
        <v>208.43914839809082</v>
      </c>
      <c r="AT57" s="98">
        <f t="shared" si="145"/>
        <v>2.1444356831079304E-2</v>
      </c>
      <c r="AU57" s="12">
        <f t="shared" si="141"/>
        <v>-21787.361451362369</v>
      </c>
      <c r="AV57" s="1047">
        <f t="shared" si="142"/>
        <v>675.34284080981433</v>
      </c>
    </row>
    <row r="58" spans="2:48" ht="21" customHeight="1">
      <c r="B58" s="1168">
        <f>'Input-Output'!BK53</f>
        <v>19</v>
      </c>
      <c r="C58" s="19">
        <f>'Input-Output'!BL53</f>
        <v>19</v>
      </c>
      <c r="D58" s="1188">
        <f>'Input-Output'!BM53</f>
        <v>31</v>
      </c>
      <c r="E58" s="19">
        <f>'Input-Output'!BN53</f>
        <v>960.5</v>
      </c>
      <c r="F58" s="19">
        <f>'Input-Output'!BO53</f>
        <v>292.7604</v>
      </c>
      <c r="G58" s="20">
        <f t="shared" si="111"/>
        <v>97.857342868615135</v>
      </c>
      <c r="H58" s="20">
        <f t="shared" si="112"/>
        <v>28.976051874230858</v>
      </c>
      <c r="I58" s="20">
        <f t="shared" si="113"/>
        <v>393.24616877419692</v>
      </c>
      <c r="J58" s="20">
        <f t="shared" si="114"/>
        <v>14.193002057883822</v>
      </c>
      <c r="K58" s="20">
        <f t="shared" si="115"/>
        <v>15.27692895339954</v>
      </c>
      <c r="L58" s="27">
        <f t="shared" si="116"/>
        <v>-21.639379999999999</v>
      </c>
      <c r="M58" s="17">
        <f t="shared" si="117"/>
        <v>-21.077570000000001</v>
      </c>
      <c r="N58" s="22">
        <f t="shared" si="118"/>
        <v>-18.654742983645878</v>
      </c>
      <c r="O58" s="23">
        <f t="shared" si="119"/>
        <v>4.6342381389232747E-4</v>
      </c>
      <c r="P58" s="22">
        <f t="shared" si="120"/>
        <v>139.80310164770174</v>
      </c>
      <c r="Q58" s="102">
        <f t="shared" si="121"/>
        <v>11.412021467464227</v>
      </c>
      <c r="R58" s="106">
        <f t="shared" si="122"/>
        <v>8.7626894398245642E-2</v>
      </c>
      <c r="S58" s="32">
        <f t="shared" si="123"/>
        <v>-4.7062110560406198</v>
      </c>
      <c r="T58" s="24">
        <f t="shared" si="124"/>
        <v>438.06061999999997</v>
      </c>
      <c r="U58" s="66">
        <f t="shared" si="125"/>
        <v>438.62243000000001</v>
      </c>
      <c r="W58" s="1202">
        <f t="shared" si="126"/>
        <v>7.7831021950476005E-3</v>
      </c>
      <c r="X58" s="21">
        <f t="shared" si="127"/>
        <v>3.4126606846165882E-4</v>
      </c>
      <c r="Y58" s="23">
        <f t="shared" si="128"/>
        <v>7.5585053213467835E-3</v>
      </c>
      <c r="Z58" s="21">
        <f t="shared" si="129"/>
        <v>1.5432749500473368E-2</v>
      </c>
      <c r="AA58" s="21">
        <f t="shared" si="130"/>
        <v>2.1573354231649744E-2</v>
      </c>
      <c r="AB58" s="21">
        <f t="shared" si="131"/>
        <v>-4.5501146911325421</v>
      </c>
      <c r="AC58" s="70">
        <f t="shared" si="132"/>
        <v>3.3141291087242984E-4</v>
      </c>
      <c r="AF58" s="1168">
        <f t="shared" si="133"/>
        <v>19</v>
      </c>
      <c r="AG58" s="19">
        <f t="shared" si="133"/>
        <v>19</v>
      </c>
      <c r="AH58" s="1188">
        <f t="shared" si="133"/>
        <v>31</v>
      </c>
      <c r="AI58" s="19">
        <f t="shared" si="133"/>
        <v>960.5</v>
      </c>
      <c r="AJ58" s="1100">
        <f t="shared" si="133"/>
        <v>292.7604</v>
      </c>
      <c r="AK58" s="1146">
        <f t="shared" si="134"/>
        <v>1</v>
      </c>
      <c r="AL58" s="97">
        <f t="shared" si="135"/>
        <v>460.5</v>
      </c>
      <c r="AM58" s="75">
        <f t="shared" si="136"/>
        <v>-5.9106513949546843E-2</v>
      </c>
      <c r="AN58" s="75">
        <f t="shared" si="137"/>
        <v>1.3824716490844038E-3</v>
      </c>
      <c r="AO58" s="75">
        <f t="shared" si="138"/>
        <v>-5.7724042300462443E-2</v>
      </c>
      <c r="AP58" s="75">
        <f t="shared" si="143"/>
        <v>-3.2724042300462441E-2</v>
      </c>
      <c r="AQ58" s="12">
        <f t="shared" si="144"/>
        <v>264.38339014389334</v>
      </c>
      <c r="AR58" s="13" t="str">
        <f t="shared" si="139"/>
        <v>Exfl</v>
      </c>
      <c r="AS58" s="12">
        <f t="shared" si="140"/>
        <v>264.38339014389334</v>
      </c>
      <c r="AT58" s="98">
        <f t="shared" si="145"/>
        <v>2.7199937257602193E-2</v>
      </c>
      <c r="AU58" s="12">
        <f t="shared" si="141"/>
        <v>-27593.834658268286</v>
      </c>
      <c r="AV58" s="1047">
        <f t="shared" si="142"/>
        <v>856.60218406621448</v>
      </c>
    </row>
    <row r="59" spans="2:48" ht="21" customHeight="1">
      <c r="B59" s="1168">
        <f>'Input-Output'!BK54</f>
        <v>18</v>
      </c>
      <c r="C59" s="19">
        <f>'Input-Output'!BL54</f>
        <v>16</v>
      </c>
      <c r="D59" s="1188">
        <f>'Input-Output'!BM54</f>
        <v>28</v>
      </c>
      <c r="E59" s="19">
        <f>'Input-Output'!BN54</f>
        <v>920</v>
      </c>
      <c r="F59" s="19">
        <f>'Input-Output'!BO54</f>
        <v>280.416</v>
      </c>
      <c r="G59" s="20">
        <f t="shared" si="111"/>
        <v>98.001590564759653</v>
      </c>
      <c r="H59" s="20">
        <f t="shared" si="112"/>
        <v>29.018764343256649</v>
      </c>
      <c r="I59" s="20">
        <f t="shared" si="113"/>
        <v>393.82583762888362</v>
      </c>
      <c r="J59" s="20">
        <f t="shared" si="114"/>
        <v>14.213923409191846</v>
      </c>
      <c r="K59" s="20">
        <f t="shared" si="115"/>
        <v>14.81283422459893</v>
      </c>
      <c r="L59" s="27">
        <f t="shared" si="116"/>
        <v>-21.495200000000001</v>
      </c>
      <c r="M59" s="17">
        <f t="shared" si="117"/>
        <v>-20.982800000000001</v>
      </c>
      <c r="N59" s="22">
        <f t="shared" si="118"/>
        <v>-19.093895528730322</v>
      </c>
      <c r="O59" s="23">
        <f t="shared" si="119"/>
        <v>4.5386652906547864E-4</v>
      </c>
      <c r="P59" s="22">
        <f t="shared" si="120"/>
        <v>136.09619313184834</v>
      </c>
      <c r="Q59" s="102">
        <f t="shared" si="121"/>
        <v>11.398799721893468</v>
      </c>
      <c r="R59" s="106">
        <f t="shared" si="122"/>
        <v>8.7728534968407074E-2</v>
      </c>
      <c r="S59" s="32">
        <f t="shared" si="123"/>
        <v>-4.6816272552676397</v>
      </c>
      <c r="T59" s="24">
        <f t="shared" si="124"/>
        <v>438.20479999999998</v>
      </c>
      <c r="U59" s="66">
        <f t="shared" si="125"/>
        <v>438.71719999999999</v>
      </c>
      <c r="W59" s="1202">
        <f t="shared" si="126"/>
        <v>7.8215773706808954E-3</v>
      </c>
      <c r="X59" s="21">
        <f t="shared" si="127"/>
        <v>3.4244895261267085E-4</v>
      </c>
      <c r="Y59" s="23">
        <f t="shared" si="128"/>
        <v>7.6155791371141915E-3</v>
      </c>
      <c r="Z59" s="21">
        <f t="shared" si="129"/>
        <v>1.5549281256994991E-2</v>
      </c>
      <c r="AA59" s="21">
        <f t="shared" si="130"/>
        <v>2.1159912013926301E-2</v>
      </c>
      <c r="AB59" s="21">
        <f t="shared" si="131"/>
        <v>-4.5694651950753604</v>
      </c>
      <c r="AC59" s="70">
        <f t="shared" si="132"/>
        <v>3.3342498053444164E-4</v>
      </c>
      <c r="AF59" s="1168">
        <f t="shared" si="133"/>
        <v>18</v>
      </c>
      <c r="AG59" s="19">
        <f t="shared" si="133"/>
        <v>16</v>
      </c>
      <c r="AH59" s="1188">
        <f t="shared" si="133"/>
        <v>28</v>
      </c>
      <c r="AI59" s="19">
        <f t="shared" si="133"/>
        <v>920</v>
      </c>
      <c r="AJ59" s="1100">
        <f t="shared" si="133"/>
        <v>280.416</v>
      </c>
      <c r="AK59" s="1146">
        <f t="shared" si="134"/>
        <v>1</v>
      </c>
      <c r="AL59" s="97">
        <f t="shared" si="135"/>
        <v>420</v>
      </c>
      <c r="AM59" s="75">
        <f t="shared" si="136"/>
        <v>-7.1421915785477699E-2</v>
      </c>
      <c r="AN59" s="75">
        <f t="shared" si="137"/>
        <v>1.3012594542261586E-3</v>
      </c>
      <c r="AO59" s="75">
        <f t="shared" si="138"/>
        <v>-7.0120656331251544E-2</v>
      </c>
      <c r="AP59" s="75">
        <f t="shared" si="143"/>
        <v>-4.5120656331251542E-2</v>
      </c>
      <c r="AQ59" s="12">
        <f t="shared" si="144"/>
        <v>310.26777425458073</v>
      </c>
      <c r="AR59" s="13" t="str">
        <f t="shared" si="139"/>
        <v>Exfl</v>
      </c>
      <c r="AS59" s="12">
        <f t="shared" si="140"/>
        <v>310.26777425458073</v>
      </c>
      <c r="AT59" s="98">
        <f t="shared" si="145"/>
        <v>3.1920552906849871E-2</v>
      </c>
      <c r="AU59" s="12">
        <f t="shared" si="141"/>
        <v>-32334.499004670666</v>
      </c>
      <c r="AV59" s="1047">
        <f t="shared" si="142"/>
        <v>1005.2675885848416</v>
      </c>
    </row>
    <row r="60" spans="2:48" ht="21" customHeight="1">
      <c r="B60" s="1168">
        <f>'Input-Output'!BK55</f>
        <v>17</v>
      </c>
      <c r="C60" s="19">
        <f>'Input-Output'!BL55</f>
        <v>13</v>
      </c>
      <c r="D60" s="1188">
        <f>'Input-Output'!BM55</f>
        <v>25</v>
      </c>
      <c r="E60" s="19">
        <f>'Input-Output'!BN55</f>
        <v>879.5</v>
      </c>
      <c r="F60" s="19">
        <f>'Input-Output'!BO55</f>
        <v>268.07159999999999</v>
      </c>
      <c r="G60" s="20">
        <f t="shared" si="111"/>
        <v>98.146010383992689</v>
      </c>
      <c r="H60" s="20">
        <f t="shared" si="112"/>
        <v>29.061527778795483</v>
      </c>
      <c r="I60" s="20">
        <f t="shared" si="113"/>
        <v>394.40619817152276</v>
      </c>
      <c r="J60" s="20">
        <f t="shared" si="114"/>
        <v>14.234869724833441</v>
      </c>
      <c r="K60" s="20">
        <f t="shared" si="115"/>
        <v>14.34873949579832</v>
      </c>
      <c r="L60" s="27">
        <f t="shared" si="116"/>
        <v>-21.351019999999998</v>
      </c>
      <c r="M60" s="17">
        <f t="shared" si="117"/>
        <v>-20.888030000000001</v>
      </c>
      <c r="N60" s="22">
        <f t="shared" si="118"/>
        <v>-19.542997185866671</v>
      </c>
      <c r="O60" s="23">
        <f t="shared" si="119"/>
        <v>4.4431203479952181E-4</v>
      </c>
      <c r="P60" s="22">
        <f t="shared" si="120"/>
        <v>132.4303272506146</v>
      </c>
      <c r="Q60" s="102">
        <f t="shared" si="121"/>
        <v>11.385596809633551</v>
      </c>
      <c r="R60" s="106">
        <f t="shared" si="122"/>
        <v>8.7830266319801759E-2</v>
      </c>
      <c r="S60" s="32">
        <f t="shared" si="123"/>
        <v>-4.6570417438004199</v>
      </c>
      <c r="T60" s="24">
        <f t="shared" si="124"/>
        <v>438.34897999999998</v>
      </c>
      <c r="U60" s="66">
        <f t="shared" si="125"/>
        <v>438.81196999999997</v>
      </c>
      <c r="W60" s="1202">
        <f t="shared" si="126"/>
        <v>7.860224246966762E-3</v>
      </c>
      <c r="X60" s="21">
        <f t="shared" si="127"/>
        <v>3.4363527183466444E-4</v>
      </c>
      <c r="Y60" s="23">
        <f t="shared" si="128"/>
        <v>7.6730419675608095E-3</v>
      </c>
      <c r="Z60" s="21">
        <f t="shared" si="129"/>
        <v>1.5666607293052186E-2</v>
      </c>
      <c r="AA60" s="21">
        <f t="shared" si="130"/>
        <v>2.0745311987520054E-2</v>
      </c>
      <c r="AB60" s="21">
        <f t="shared" si="131"/>
        <v>-4.5892533510860121</v>
      </c>
      <c r="AC60" s="70">
        <f t="shared" si="132"/>
        <v>3.354475761715638E-4</v>
      </c>
      <c r="AF60" s="1168">
        <f t="shared" si="133"/>
        <v>17</v>
      </c>
      <c r="AG60" s="19">
        <f t="shared" si="133"/>
        <v>13</v>
      </c>
      <c r="AH60" s="1188">
        <f t="shared" si="133"/>
        <v>25</v>
      </c>
      <c r="AI60" s="19">
        <f t="shared" si="133"/>
        <v>879.5</v>
      </c>
      <c r="AJ60" s="1100">
        <f t="shared" si="133"/>
        <v>268.07159999999999</v>
      </c>
      <c r="AK60" s="1146">
        <f t="shared" si="134"/>
        <v>1</v>
      </c>
      <c r="AL60" s="97">
        <f t="shared" si="135"/>
        <v>379.5</v>
      </c>
      <c r="AM60" s="75">
        <f t="shared" si="136"/>
        <v>-8.3728877865128115E-2</v>
      </c>
      <c r="AN60" s="75">
        <f t="shared" si="137"/>
        <v>1.2224142318318983E-3</v>
      </c>
      <c r="AO60" s="75">
        <f t="shared" si="138"/>
        <v>-8.2506463633296223E-2</v>
      </c>
      <c r="AP60" s="75">
        <f t="shared" si="143"/>
        <v>-5.7506463633296222E-2</v>
      </c>
      <c r="AQ60" s="12">
        <f t="shared" si="144"/>
        <v>350.07059717149804</v>
      </c>
      <c r="AR60" s="13" t="str">
        <f t="shared" si="139"/>
        <v>Exfl</v>
      </c>
      <c r="AS60" s="12">
        <f t="shared" si="140"/>
        <v>350.07059717149804</v>
      </c>
      <c r="AT60" s="98">
        <f t="shared" si="145"/>
        <v>3.6015493536162346E-2</v>
      </c>
      <c r="AU60" s="12">
        <f t="shared" si="141"/>
        <v>-36428.031838241594</v>
      </c>
      <c r="AV60" s="1047">
        <f t="shared" si="142"/>
        <v>1134.2287348356538</v>
      </c>
    </row>
    <row r="61" spans="2:48" ht="21" customHeight="1">
      <c r="B61" s="1168">
        <f>'Input-Output'!BK56</f>
        <v>16</v>
      </c>
      <c r="C61" s="19">
        <f>'Input-Output'!BL56</f>
        <v>10</v>
      </c>
      <c r="D61" s="1188">
        <f>'Input-Output'!BM56</f>
        <v>22</v>
      </c>
      <c r="E61" s="19">
        <f>'Input-Output'!BN56</f>
        <v>839</v>
      </c>
      <c r="F61" s="19">
        <f>'Input-Output'!BO56</f>
        <v>255.72720000000001</v>
      </c>
      <c r="G61" s="20">
        <f t="shared" si="111"/>
        <v>98.290602483392121</v>
      </c>
      <c r="H61" s="20">
        <f t="shared" si="112"/>
        <v>29.104342227358909</v>
      </c>
      <c r="I61" s="20">
        <f t="shared" si="113"/>
        <v>394.98725103334209</v>
      </c>
      <c r="J61" s="20">
        <f t="shared" si="114"/>
        <v>14.255841027590815</v>
      </c>
      <c r="K61" s="20">
        <f t="shared" si="115"/>
        <v>13.884644766997708</v>
      </c>
      <c r="L61" s="27">
        <f t="shared" si="116"/>
        <v>-21.20684</v>
      </c>
      <c r="M61" s="17">
        <f t="shared" si="117"/>
        <v>-20.79326</v>
      </c>
      <c r="N61" s="22">
        <f t="shared" si="118"/>
        <v>-20.002485325356396</v>
      </c>
      <c r="O61" s="23">
        <f t="shared" si="119"/>
        <v>4.3476033859937718E-4</v>
      </c>
      <c r="P61" s="22">
        <f t="shared" si="120"/>
        <v>128.80509399307132</v>
      </c>
      <c r="Q61" s="102">
        <f t="shared" si="121"/>
        <v>11.372412699042957</v>
      </c>
      <c r="R61" s="106">
        <f t="shared" si="122"/>
        <v>8.7932088507846257E-2</v>
      </c>
      <c r="S61" s="32">
        <f t="shared" si="123"/>
        <v>-4.6324545132109867</v>
      </c>
      <c r="T61" s="24">
        <f t="shared" si="124"/>
        <v>438.49315999999999</v>
      </c>
      <c r="U61" s="66">
        <f t="shared" si="125"/>
        <v>438.90674000000001</v>
      </c>
      <c r="W61" s="1202">
        <f t="shared" si="126"/>
        <v>7.8990435022404954E-3</v>
      </c>
      <c r="X61" s="21">
        <f t="shared" si="127"/>
        <v>3.4482503388982079E-4</v>
      </c>
      <c r="Y61" s="23">
        <f t="shared" si="128"/>
        <v>7.7308961599364392E-3</v>
      </c>
      <c r="Z61" s="21">
        <f t="shared" si="129"/>
        <v>1.5784732401195416E-2</v>
      </c>
      <c r="AA61" s="21">
        <f t="shared" si="130"/>
        <v>2.0329552715933563E-2</v>
      </c>
      <c r="AB61" s="21">
        <f t="shared" si="131"/>
        <v>-4.6094980177103508</v>
      </c>
      <c r="AC61" s="70">
        <f t="shared" si="132"/>
        <v>3.3748074300394057E-4</v>
      </c>
      <c r="AF61" s="1168">
        <f t="shared" si="133"/>
        <v>16</v>
      </c>
      <c r="AG61" s="19">
        <f t="shared" si="133"/>
        <v>10</v>
      </c>
      <c r="AH61" s="1188">
        <f t="shared" si="133"/>
        <v>22</v>
      </c>
      <c r="AI61" s="19">
        <f t="shared" si="133"/>
        <v>839</v>
      </c>
      <c r="AJ61" s="1100">
        <f t="shared" si="133"/>
        <v>255.72720000000001</v>
      </c>
      <c r="AK61" s="1146">
        <f t="shared" si="134"/>
        <v>1</v>
      </c>
      <c r="AL61" s="97">
        <f t="shared" si="135"/>
        <v>339</v>
      </c>
      <c r="AM61" s="75">
        <f t="shared" si="136"/>
        <v>-9.6027309918105444E-2</v>
      </c>
      <c r="AN61" s="75">
        <f t="shared" si="137"/>
        <v>1.1459446206839802E-3</v>
      </c>
      <c r="AO61" s="75">
        <f t="shared" si="138"/>
        <v>-9.4881365297421458E-2</v>
      </c>
      <c r="AP61" s="75">
        <f t="shared" si="143"/>
        <v>-6.9881365297421449E-2</v>
      </c>
      <c r="AQ61" s="12">
        <f t="shared" si="144"/>
        <v>385.67936284093651</v>
      </c>
      <c r="AR61" s="13" t="str">
        <f t="shared" si="139"/>
        <v>Exfl</v>
      </c>
      <c r="AS61" s="12">
        <f t="shared" si="140"/>
        <v>385.67936284093651</v>
      </c>
      <c r="AT61" s="98">
        <f t="shared" si="145"/>
        <v>3.9678946794335028E-2</v>
      </c>
      <c r="AU61" s="12">
        <f t="shared" si="141"/>
        <v>-40073.39217231112</v>
      </c>
      <c r="AV61" s="1047">
        <f t="shared" si="142"/>
        <v>1249.6011356046345</v>
      </c>
    </row>
    <row r="62" spans="2:48" ht="21" customHeight="1">
      <c r="B62" s="1168">
        <f>'Input-Output'!BK57</f>
        <v>15</v>
      </c>
      <c r="C62" s="19">
        <f>'Input-Output'!BL57</f>
        <v>7</v>
      </c>
      <c r="D62" s="1188">
        <f>'Input-Output'!BM57</f>
        <v>19</v>
      </c>
      <c r="E62" s="19">
        <f>'Input-Output'!BN57</f>
        <v>798.5</v>
      </c>
      <c r="F62" s="19">
        <f>'Input-Output'!BO57</f>
        <v>243.3828</v>
      </c>
      <c r="G62" s="20">
        <f t="shared" si="111"/>
        <v>98.435367020135004</v>
      </c>
      <c r="H62" s="20">
        <f t="shared" si="112"/>
        <v>29.147207735487846</v>
      </c>
      <c r="I62" s="20">
        <f t="shared" si="113"/>
        <v>395.56899684596794</v>
      </c>
      <c r="J62" s="20">
        <f t="shared" si="114"/>
        <v>14.276837340260565</v>
      </c>
      <c r="K62" s="20">
        <f t="shared" si="115"/>
        <v>13.420550038197097</v>
      </c>
      <c r="L62" s="27">
        <f t="shared" si="116"/>
        <v>-21.062660000000001</v>
      </c>
      <c r="M62" s="17">
        <f t="shared" si="117"/>
        <v>-20.69849</v>
      </c>
      <c r="N62" s="22">
        <f t="shared" si="118"/>
        <v>-20.472826904619058</v>
      </c>
      <c r="O62" s="23">
        <f t="shared" si="119"/>
        <v>4.2521144798056431E-4</v>
      </c>
      <c r="P62" s="22">
        <f t="shared" si="120"/>
        <v>125.22008744480272</v>
      </c>
      <c r="Q62" s="102">
        <f t="shared" si="121"/>
        <v>11.359247358541671</v>
      </c>
      <c r="R62" s="106">
        <f t="shared" si="122"/>
        <v>8.8034001587969868E-2</v>
      </c>
      <c r="S62" s="32">
        <f t="shared" si="123"/>
        <v>-4.6078655550582948</v>
      </c>
      <c r="T62" s="24">
        <f t="shared" si="124"/>
        <v>438.63733999999999</v>
      </c>
      <c r="U62" s="66">
        <f t="shared" si="125"/>
        <v>439.00151</v>
      </c>
      <c r="W62" s="1202">
        <f t="shared" si="126"/>
        <v>7.9380358171394234E-3</v>
      </c>
      <c r="X62" s="21">
        <f t="shared" si="127"/>
        <v>3.4601824655156629E-4</v>
      </c>
      <c r="Y62" s="23">
        <f t="shared" si="128"/>
        <v>7.7891440736602372E-3</v>
      </c>
      <c r="Z62" s="21">
        <f t="shared" si="129"/>
        <v>1.5903661398822211E-2</v>
      </c>
      <c r="AA62" s="21">
        <f t="shared" si="130"/>
        <v>1.9912632763732792E-2</v>
      </c>
      <c r="AB62" s="21">
        <f t="shared" si="131"/>
        <v>-4.630219301354523</v>
      </c>
      <c r="AC62" s="70">
        <f t="shared" si="132"/>
        <v>3.3952452639621986E-4</v>
      </c>
      <c r="AF62" s="1168">
        <f t="shared" si="133"/>
        <v>15</v>
      </c>
      <c r="AG62" s="19">
        <f t="shared" si="133"/>
        <v>7</v>
      </c>
      <c r="AH62" s="1188">
        <f t="shared" si="133"/>
        <v>19</v>
      </c>
      <c r="AI62" s="19">
        <f t="shared" si="133"/>
        <v>798.5</v>
      </c>
      <c r="AJ62" s="1100">
        <f t="shared" si="133"/>
        <v>243.3828</v>
      </c>
      <c r="AK62" s="1146">
        <f t="shared" si="134"/>
        <v>1</v>
      </c>
      <c r="AL62" s="97">
        <f t="shared" si="135"/>
        <v>298.5</v>
      </c>
      <c r="AM62" s="75">
        <f t="shared" si="136"/>
        <v>-0.10831712147583272</v>
      </c>
      <c r="AN62" s="75">
        <f t="shared" si="137"/>
        <v>1.0718592752362748E-3</v>
      </c>
      <c r="AO62" s="75">
        <f t="shared" si="138"/>
        <v>-0.10724526220059645</v>
      </c>
      <c r="AP62" s="75">
        <f t="shared" si="143"/>
        <v>-8.2245262200596442E-2</v>
      </c>
      <c r="AQ62" s="12">
        <f t="shared" si="144"/>
        <v>418.16687535098697</v>
      </c>
      <c r="AR62" s="13" t="str">
        <f t="shared" si="139"/>
        <v>Exfl</v>
      </c>
      <c r="AS62" s="12">
        <f t="shared" si="140"/>
        <v>418.16687535098697</v>
      </c>
      <c r="AT62" s="98">
        <f t="shared" si="145"/>
        <v>4.3021283472323764E-2</v>
      </c>
      <c r="AU62" s="12">
        <f t="shared" si="141"/>
        <v>-43383.840159712585</v>
      </c>
      <c r="AV62" s="1047">
        <f t="shared" si="142"/>
        <v>1354.860676137198</v>
      </c>
    </row>
    <row r="63" spans="2:48" ht="21" customHeight="1">
      <c r="B63" s="1168">
        <f>'Input-Output'!BK58</f>
        <v>14</v>
      </c>
      <c r="C63" s="19">
        <f>'Input-Output'!BL58</f>
        <v>5</v>
      </c>
      <c r="D63" s="1188">
        <f>'Input-Output'!BM58</f>
        <v>17</v>
      </c>
      <c r="E63" s="19">
        <f>'Input-Output'!BN58</f>
        <v>771.5</v>
      </c>
      <c r="F63" s="19">
        <f>'Input-Output'!BO58</f>
        <v>235.1532</v>
      </c>
      <c r="G63" s="20">
        <f t="shared" si="111"/>
        <v>98.531972587484262</v>
      </c>
      <c r="H63" s="20">
        <f t="shared" si="112"/>
        <v>29.175813130328883</v>
      </c>
      <c r="I63" s="20">
        <f t="shared" si="113"/>
        <v>395.95721267248348</v>
      </c>
      <c r="J63" s="20">
        <f t="shared" si="114"/>
        <v>14.290848787700252</v>
      </c>
      <c r="K63" s="20">
        <f t="shared" si="115"/>
        <v>13.111153552330023</v>
      </c>
      <c r="L63" s="27">
        <f t="shared" si="116"/>
        <v>-20.966539999999998</v>
      </c>
      <c r="M63" s="17">
        <f t="shared" si="117"/>
        <v>-20.63531</v>
      </c>
      <c r="N63" s="22">
        <f t="shared" si="118"/>
        <v>-20.792662779646356</v>
      </c>
      <c r="O63" s="23">
        <f t="shared" si="119"/>
        <v>4.188470832738375E-4</v>
      </c>
      <c r="P63" s="22">
        <f t="shared" si="120"/>
        <v>122.8522326361247</v>
      </c>
      <c r="Q63" s="102">
        <f t="shared" si="121"/>
        <v>11.350480877134256</v>
      </c>
      <c r="R63" s="106">
        <f t="shared" si="122"/>
        <v>8.8101994164363345E-2</v>
      </c>
      <c r="S63" s="32">
        <f t="shared" si="123"/>
        <v>-4.5914719523581109</v>
      </c>
      <c r="T63" s="24">
        <f t="shared" si="124"/>
        <v>438.73345999999998</v>
      </c>
      <c r="U63" s="66">
        <f t="shared" si="125"/>
        <v>439.06468999999998</v>
      </c>
      <c r="W63" s="1202">
        <f t="shared" si="126"/>
        <v>7.9641271751373505E-3</v>
      </c>
      <c r="X63" s="21">
        <f t="shared" si="127"/>
        <v>3.4681564250689756E-4</v>
      </c>
      <c r="Y63" s="23">
        <f t="shared" si="128"/>
        <v>7.8281959209008534E-3</v>
      </c>
      <c r="Z63" s="21">
        <f t="shared" si="129"/>
        <v>1.5983396392762493E-2</v>
      </c>
      <c r="AA63" s="21">
        <f t="shared" si="130"/>
        <v>1.963404059799902E-2</v>
      </c>
      <c r="AB63" s="21">
        <f t="shared" si="131"/>
        <v>-4.6443088189170094</v>
      </c>
      <c r="AC63" s="70">
        <f t="shared" si="132"/>
        <v>3.4089296921438835E-4</v>
      </c>
      <c r="AF63" s="1168">
        <f t="shared" si="133"/>
        <v>14</v>
      </c>
      <c r="AG63" s="19">
        <f t="shared" si="133"/>
        <v>5</v>
      </c>
      <c r="AH63" s="1188">
        <f t="shared" si="133"/>
        <v>17</v>
      </c>
      <c r="AI63" s="19">
        <f t="shared" si="133"/>
        <v>771.5</v>
      </c>
      <c r="AJ63" s="1100">
        <f t="shared" si="133"/>
        <v>235.1532</v>
      </c>
      <c r="AK63" s="1146">
        <f t="shared" si="134"/>
        <v>1</v>
      </c>
      <c r="AL63" s="97">
        <f t="shared" si="135"/>
        <v>271.5</v>
      </c>
      <c r="AM63" s="75">
        <f t="shared" si="136"/>
        <v>-0.11650549525130822</v>
      </c>
      <c r="AN63" s="75">
        <f t="shared" si="137"/>
        <v>1.0237979178987539E-3</v>
      </c>
      <c r="AO63" s="75">
        <f t="shared" si="138"/>
        <v>-0.11548169733340947</v>
      </c>
      <c r="AP63" s="75">
        <f t="shared" si="143"/>
        <v>-9.0481697333409467E-2</v>
      </c>
      <c r="AQ63" s="12">
        <f t="shared" si="144"/>
        <v>438.43670438268435</v>
      </c>
      <c r="AR63" s="13" t="str">
        <f t="shared" si="139"/>
        <v>Exfl</v>
      </c>
      <c r="AS63" s="12">
        <f t="shared" si="140"/>
        <v>438.43670438268435</v>
      </c>
      <c r="AT63" s="98">
        <f t="shared" si="145"/>
        <v>4.5106656829494274E-2</v>
      </c>
      <c r="AU63" s="12">
        <f t="shared" si="141"/>
        <v>-45441.273810897779</v>
      </c>
      <c r="AV63" s="1047">
        <f t="shared" si="142"/>
        <v>1420.5349221998974</v>
      </c>
    </row>
    <row r="64" spans="2:48" ht="21" customHeight="1">
      <c r="B64" s="1168">
        <f>'Input-Output'!BK59</f>
        <v>13</v>
      </c>
      <c r="C64" s="19">
        <f>'Input-Output'!BL59</f>
        <v>3</v>
      </c>
      <c r="D64" s="1188">
        <f>'Input-Output'!BM59</f>
        <v>15</v>
      </c>
      <c r="E64" s="19">
        <f>'Input-Output'!BN59</f>
        <v>744.5</v>
      </c>
      <c r="F64" s="19">
        <f>'Input-Output'!BO59</f>
        <v>226.92360000000002</v>
      </c>
      <c r="G64" s="20">
        <f t="shared" si="111"/>
        <v>98.628654910176365</v>
      </c>
      <c r="H64" s="20">
        <f t="shared" si="112"/>
        <v>29.204441252813353</v>
      </c>
      <c r="I64" s="20">
        <f t="shared" si="113"/>
        <v>396.34573694539273</v>
      </c>
      <c r="J64" s="20">
        <f t="shared" si="114"/>
        <v>14.304871367556853</v>
      </c>
      <c r="K64" s="20">
        <f t="shared" si="115"/>
        <v>12.801757066462949</v>
      </c>
      <c r="L64" s="27">
        <f t="shared" si="116"/>
        <v>-20.870419999999999</v>
      </c>
      <c r="M64" s="17">
        <f t="shared" si="117"/>
        <v>-20.572130000000001</v>
      </c>
      <c r="N64" s="22">
        <f t="shared" si="118"/>
        <v>-21.11770010231351</v>
      </c>
      <c r="O64" s="23">
        <f t="shared" si="119"/>
        <v>4.1248397106948519E-4</v>
      </c>
      <c r="P64" s="22">
        <f t="shared" si="120"/>
        <v>120.50195960072298</v>
      </c>
      <c r="Q64" s="102">
        <f t="shared" si="121"/>
        <v>11.341722714655461</v>
      </c>
      <c r="R64" s="106">
        <f t="shared" si="122"/>
        <v>8.8170027178307547E-2</v>
      </c>
      <c r="S64" s="32">
        <f t="shared" si="123"/>
        <v>-4.5750775755867279</v>
      </c>
      <c r="T64" s="24">
        <f t="shared" si="124"/>
        <v>438.82957999999996</v>
      </c>
      <c r="U64" s="66">
        <f t="shared" si="125"/>
        <v>439.12786999999997</v>
      </c>
      <c r="W64" s="1202">
        <f t="shared" si="126"/>
        <v>7.9902959549344073E-3</v>
      </c>
      <c r="X64" s="21">
        <f t="shared" si="127"/>
        <v>3.4761457783416062E-4</v>
      </c>
      <c r="Y64" s="23">
        <f t="shared" si="128"/>
        <v>7.8674245149535239E-3</v>
      </c>
      <c r="Z64" s="21">
        <f t="shared" si="129"/>
        <v>1.6063492263511017E-2</v>
      </c>
      <c r="AA64" s="21">
        <f t="shared" si="130"/>
        <v>1.9354931511971617E-2</v>
      </c>
      <c r="AB64" s="21">
        <f t="shared" si="131"/>
        <v>-4.6586263984200817</v>
      </c>
      <c r="AC64" s="70">
        <f t="shared" si="132"/>
        <v>3.4226616424711247E-4</v>
      </c>
      <c r="AF64" s="1168">
        <f t="shared" si="133"/>
        <v>13</v>
      </c>
      <c r="AG64" s="19">
        <f t="shared" si="133"/>
        <v>3</v>
      </c>
      <c r="AH64" s="1188">
        <f t="shared" si="133"/>
        <v>15</v>
      </c>
      <c r="AI64" s="19">
        <f t="shared" si="133"/>
        <v>744.5</v>
      </c>
      <c r="AJ64" s="1100">
        <f t="shared" si="133"/>
        <v>226.92360000000002</v>
      </c>
      <c r="AK64" s="1146">
        <f t="shared" si="134"/>
        <v>1</v>
      </c>
      <c r="AL64" s="97">
        <f t="shared" si="135"/>
        <v>244.5</v>
      </c>
      <c r="AM64" s="75">
        <f t="shared" si="136"/>
        <v>-0.12468997048988295</v>
      </c>
      <c r="AN64" s="75">
        <f t="shared" si="137"/>
        <v>9.7680266008645504E-4</v>
      </c>
      <c r="AO64" s="75">
        <f t="shared" si="138"/>
        <v>-0.12371316782979649</v>
      </c>
      <c r="AP64" s="75">
        <f t="shared" si="143"/>
        <v>-9.87131678297965E-2</v>
      </c>
      <c r="AQ64" s="12">
        <f t="shared" si="144"/>
        <v>457.76908721933472</v>
      </c>
      <c r="AR64" s="13" t="str">
        <f t="shared" si="139"/>
        <v>Exfl</v>
      </c>
      <c r="AS64" s="12">
        <f t="shared" si="140"/>
        <v>457.76908721933472</v>
      </c>
      <c r="AT64" s="98">
        <f t="shared" si="145"/>
        <v>4.709558510486983E-2</v>
      </c>
      <c r="AU64" s="12">
        <f t="shared" si="141"/>
        <v>-47397.43582711299</v>
      </c>
      <c r="AV64" s="1047">
        <f t="shared" si="142"/>
        <v>1483.1718425906445</v>
      </c>
    </row>
    <row r="65" spans="2:48" ht="21" customHeight="1" thickBot="1">
      <c r="B65" s="1168">
        <f>'Input-Output'!BK60</f>
        <v>12</v>
      </c>
      <c r="C65" s="19">
        <f>'Input-Output'!BL60</f>
        <v>1</v>
      </c>
      <c r="D65" s="1188">
        <f>'Input-Output'!BM60</f>
        <v>13</v>
      </c>
      <c r="E65" s="19">
        <f>'Input-Output'!BN60</f>
        <v>717.5</v>
      </c>
      <c r="F65" s="19">
        <f>'Input-Output'!BO60</f>
        <v>218.69400000000002</v>
      </c>
      <c r="G65" s="20">
        <f t="shared" si="111"/>
        <v>98.725414034855802</v>
      </c>
      <c r="H65" s="20">
        <f t="shared" si="112"/>
        <v>29.233092116752925</v>
      </c>
      <c r="I65" s="20">
        <f t="shared" si="113"/>
        <v>396.73456985213966</v>
      </c>
      <c r="J65" s="20">
        <f t="shared" si="114"/>
        <v>14.318905086595578</v>
      </c>
      <c r="K65" s="20">
        <f t="shared" si="115"/>
        <v>12.492360580595875</v>
      </c>
      <c r="L65" s="27">
        <f t="shared" si="116"/>
        <v>-20.7743</v>
      </c>
      <c r="M65" s="17">
        <f t="shared" si="117"/>
        <v>-20.508949999999999</v>
      </c>
      <c r="N65" s="22">
        <f t="shared" si="118"/>
        <v>-21.448102815735101</v>
      </c>
      <c r="O65" s="23">
        <f t="shared" si="119"/>
        <v>4.0612211360220655E-4</v>
      </c>
      <c r="P65" s="22">
        <f t="shared" si="120"/>
        <v>118.16915104862591</v>
      </c>
      <c r="Q65" s="102">
        <f t="shared" si="121"/>
        <v>11.332972861793635</v>
      </c>
      <c r="R65" s="106">
        <f t="shared" si="122"/>
        <v>8.8238100646235287E-2</v>
      </c>
      <c r="S65" s="32">
        <f t="shared" si="123"/>
        <v>-4.5586824222333844</v>
      </c>
      <c r="T65" s="24">
        <f t="shared" si="124"/>
        <v>438.92570000000001</v>
      </c>
      <c r="U65" s="66">
        <f t="shared" si="125"/>
        <v>439.19105000000002</v>
      </c>
      <c r="W65" s="1202">
        <f t="shared" si="126"/>
        <v>8.0165423599148269E-3</v>
      </c>
      <c r="X65" s="21">
        <f t="shared" si="127"/>
        <v>3.484150548449492E-4</v>
      </c>
      <c r="Y65" s="23">
        <f t="shared" si="128"/>
        <v>7.9068305639855598E-3</v>
      </c>
      <c r="Z65" s="21">
        <f t="shared" si="129"/>
        <v>1.6143950456984437E-2</v>
      </c>
      <c r="AA65" s="21">
        <f t="shared" si="130"/>
        <v>1.9075305081138527E-2</v>
      </c>
      <c r="AB65" s="21">
        <f t="shared" si="131"/>
        <v>-4.6731790731134346</v>
      </c>
      <c r="AC65" s="70">
        <f t="shared" si="132"/>
        <v>3.4364412504313019E-4</v>
      </c>
      <c r="AF65" s="1168">
        <f t="shared" si="133"/>
        <v>12</v>
      </c>
      <c r="AG65" s="19">
        <f t="shared" si="133"/>
        <v>1</v>
      </c>
      <c r="AH65" s="1188">
        <f t="shared" si="133"/>
        <v>13</v>
      </c>
      <c r="AI65" s="19">
        <f t="shared" si="133"/>
        <v>717.5</v>
      </c>
      <c r="AJ65" s="1100">
        <f t="shared" si="133"/>
        <v>218.69400000000002</v>
      </c>
      <c r="AK65" s="1146">
        <f t="shared" si="134"/>
        <v>1</v>
      </c>
      <c r="AL65" s="97">
        <f t="shared" si="135"/>
        <v>217.5</v>
      </c>
      <c r="AM65" s="75">
        <f t="shared" si="136"/>
        <v>-0.13287052023896329</v>
      </c>
      <c r="AN65" s="75">
        <f t="shared" si="137"/>
        <v>9.3087607771105588E-4</v>
      </c>
      <c r="AO65" s="75">
        <f t="shared" si="138"/>
        <v>-0.13193964416125223</v>
      </c>
      <c r="AP65" s="75">
        <f t="shared" si="143"/>
        <v>-0.10693964416125223</v>
      </c>
      <c r="AQ65" s="12">
        <f t="shared" si="144"/>
        <v>476.27819189566105</v>
      </c>
      <c r="AR65" s="13" t="str">
        <f t="shared" si="139"/>
        <v>Exfl</v>
      </c>
      <c r="AS65" s="12">
        <f t="shared" si="140"/>
        <v>476.27819189566105</v>
      </c>
      <c r="AT65" s="98">
        <f t="shared" si="145"/>
        <v>4.899981398103509E-2</v>
      </c>
      <c r="AU65" s="12">
        <f t="shared" si="141"/>
        <v>-49264.427268798427</v>
      </c>
      <c r="AV65" s="1047">
        <f t="shared" si="142"/>
        <v>1543.1413417419421</v>
      </c>
    </row>
    <row r="66" spans="2:48" ht="21" customHeight="1">
      <c r="B66" s="1179" t="str">
        <f>'Input-Output'!BK61</f>
        <v>Section &gt;&gt;</v>
      </c>
      <c r="C66" s="1079"/>
      <c r="D66" s="1080" t="str">
        <f>'Input-Output'!BM61</f>
        <v>3-Fin</v>
      </c>
      <c r="E66" s="1079" t="s">
        <v>873</v>
      </c>
      <c r="F66" s="1081">
        <f>'Input-Output'!BO61</f>
        <v>6</v>
      </c>
      <c r="G66" s="1082" t="s">
        <v>867</v>
      </c>
      <c r="H66" s="1083"/>
      <c r="I66" s="1081">
        <f>'Input-Output'!BD44</f>
        <v>90</v>
      </c>
      <c r="J66" s="1083" t="s">
        <v>874</v>
      </c>
      <c r="K66" s="1084">
        <f>'Input-Output'!BD46</f>
        <v>800</v>
      </c>
      <c r="L66" s="1073" t="s">
        <v>885</v>
      </c>
      <c r="M66" s="1085"/>
      <c r="N66" s="1086"/>
      <c r="O66" s="2302">
        <f>'Input-Output'!BD47</f>
        <v>12000</v>
      </c>
      <c r="P66" s="1087" t="s">
        <v>869</v>
      </c>
      <c r="Q66" s="1088"/>
      <c r="R66" s="2302">
        <f>'Input-Output'!BD45</f>
        <v>230400</v>
      </c>
      <c r="S66" s="1087" t="s">
        <v>868</v>
      </c>
      <c r="T66" s="1089"/>
      <c r="U66" s="1090">
        <f>'Input-Output'!BD50</f>
        <v>65</v>
      </c>
      <c r="W66" s="1111" t="s">
        <v>103</v>
      </c>
      <c r="X66" s="1112"/>
      <c r="Y66" s="1112"/>
      <c r="Z66" s="1113">
        <f>'Input-Output'!BD32</f>
        <v>2.5000000000000001E-2</v>
      </c>
      <c r="AA66" s="35" t="s">
        <v>102</v>
      </c>
      <c r="AB66" s="10"/>
      <c r="AC66" s="1057">
        <f>'Input-Output'!BD31</f>
        <v>0.65</v>
      </c>
      <c r="AF66" s="1166" t="str">
        <f>B66</f>
        <v>Section &gt;&gt;</v>
      </c>
      <c r="AG66" s="1104"/>
      <c r="AH66" s="1105" t="str">
        <f>D66</f>
        <v>3-Fin</v>
      </c>
      <c r="AI66" s="1104" t="str">
        <f>E66</f>
        <v>Flrs/S</v>
      </c>
      <c r="AJ66" s="1106">
        <f>F66</f>
        <v>6</v>
      </c>
      <c r="AK66" s="1207">
        <f>SUM(AK67:AK70)</f>
        <v>4</v>
      </c>
      <c r="AL66" s="1114" t="s">
        <v>112</v>
      </c>
      <c r="AM66" s="1115"/>
      <c r="AN66" s="1116">
        <f>'Input-Output'!BD55</f>
        <v>9.6840000000000011</v>
      </c>
      <c r="AO66" s="1114" t="s">
        <v>882</v>
      </c>
      <c r="AP66" s="1117"/>
      <c r="AQ66" s="1118"/>
      <c r="AR66" s="1080">
        <f xml:space="preserve"> (SUM(AQ67:AQ70)/AK66) * AJ66</f>
        <v>3701.5704557461336</v>
      </c>
      <c r="AS66" s="1114" t="s">
        <v>884</v>
      </c>
      <c r="AT66" s="1117"/>
      <c r="AU66" s="1118"/>
      <c r="AV66" s="1148">
        <f xml:space="preserve"> (SUM(AV67:AV70)/AK66) * AJ66</f>
        <v>11993.088276617476</v>
      </c>
    </row>
    <row r="67" spans="2:48" ht="21" customHeight="1">
      <c r="B67" s="1168">
        <f>'Input-Output'!BK62</f>
        <v>11</v>
      </c>
      <c r="C67" s="19">
        <f>'Input-Output'!BL62</f>
        <v>6</v>
      </c>
      <c r="D67" s="1188">
        <f>'Input-Output'!BM62</f>
        <v>12</v>
      </c>
      <c r="E67" s="19">
        <f>'Input-Output'!BN62</f>
        <v>704</v>
      </c>
      <c r="F67" s="19">
        <f>'Input-Output'!BO62</f>
        <v>214.57920000000001</v>
      </c>
      <c r="G67" s="20">
        <f t="shared" ref="G67:G72" si="146">IF(E67="XX","XX",((101325*(1-2.25577*(10^(-5))*F67)^5.2555)/1000))</f>
        <v>98.773822412522634</v>
      </c>
      <c r="H67" s="20">
        <f t="shared" ref="H67:H72" si="147" xml:space="preserve"> IF(E67="XX", "XX", G67*$AJ$5)</f>
        <v>29.247426081086136</v>
      </c>
      <c r="I67" s="20">
        <f t="shared" ref="I67:I72" si="148">IF(E67="XX", "XX", G67*$AL$5)</f>
        <v>396.92910210180042</v>
      </c>
      <c r="J67" s="20">
        <f t="shared" ref="J67:J72" si="149" xml:space="preserve"> IF(E67="XX", "XX",G67*$AN$5)</f>
        <v>14.325926125423155</v>
      </c>
      <c r="K67" s="20">
        <f t="shared" ref="K67:K72" si="150" xml:space="preserve"> IF(E67="XX", "XX", ( $K$79 + $U$2 * (E67-$D$2)/$F$2 ) )</f>
        <v>12.337662337662337</v>
      </c>
      <c r="L67" s="27">
        <f t="shared" ref="L67:L72" si="151" xml:space="preserve"> IF(E67="XX", "XX", $L$79 - $AA$2*(E67-$E$79))</f>
        <v>-20.726240000000001</v>
      </c>
      <c r="M67" s="17">
        <f t="shared" ref="M67:M72" si="152">IF(E67="XX","XX ", $M$79-$AC$2*(E67-$E$79))</f>
        <v>-20.477360000000001</v>
      </c>
      <c r="N67" s="22">
        <f t="shared" ref="N67:N72" si="153">IF(E67="XX","XX",100.45+33.193*AB67+2.319*AB67^2+0.17074*AB67^3+1.2063*(AA67*0.4897705)^3)</f>
        <v>-21.615369570501965</v>
      </c>
      <c r="O67" s="23">
        <f t="shared" ref="O67:O72" si="154">IF(E67="XX","XX ",((1093-0.556*M67)*X67-0.24*(L67-M67))/(1093+0.444*L67-M67))</f>
        <v>4.0294165609387983E-4</v>
      </c>
      <c r="P67" s="22">
        <f t="shared" ref="P67:P72" si="155" xml:space="preserve"> IF(E67="XX", "XX", ((O67/AC67)/(1-(1-(O67/AC67))*(Y67/J67)))*100)</f>
        <v>117.00925951461289</v>
      </c>
      <c r="Q67" s="102">
        <f t="shared" ref="Q67:Q72" si="156" xml:space="preserve"> IF(E67="XX", "XX", 0.7543*(T67*(1+1.6078*O67))/H67)</f>
        <v>11.328601048562479</v>
      </c>
      <c r="R67" s="106">
        <f t="shared" ref="R67:R72" si="157" xml:space="preserve"> IF(E67="XX", "XX", 1/Q67)</f>
        <v>8.8272152555579048E-2</v>
      </c>
      <c r="S67" s="32">
        <f t="shared" ref="S67:S72" si="158">IF(E67="XX", "XX", 0.24*L67+O67*(1061+0.444*L67))</f>
        <v>-4.5504845535531615</v>
      </c>
      <c r="T67" s="24">
        <f t="shared" ref="T67:T72" si="159">IF(E67="XX", "XX", L67+459.7)</f>
        <v>438.97375999999997</v>
      </c>
      <c r="U67" s="66">
        <f t="shared" ref="U67:U72" si="160">IF(E67="XX", "XX", M67+459.7)</f>
        <v>439.22264000000001</v>
      </c>
      <c r="W67" s="1202">
        <f t="shared" ref="W67:W72" si="161" xml:space="preserve"> IF(E67="XX", "XX", EXP((-10440.397/U67)+(-11.29465) + (-0.027022355*U67) + (0.00001289036*U67*U67) + (-0.0000000024780681*U67^3)+(6.5459673*LN(U67))) )</f>
        <v>8.0296947355317332E-3</v>
      </c>
      <c r="X67" s="21">
        <f t="shared" ref="X67:X72" si="162">IF(E67="XX", "XX", 0.62198*W67/(J67-W67))</f>
        <v>3.4881587220464151E-4</v>
      </c>
      <c r="Y67" s="23">
        <f t="shared" ref="Y67:Y72" si="163" xml:space="preserve"> IF(E67="XX", "XX", EXP((-10440.397/T67)+(-11.29465) + (-0.027022355*T67) + (0.00001289036*T67*T67) + (-0.0000000024780681*T67^3)+(6.5459673*LN(T67))) )</f>
        <v>7.9266003560874935E-3</v>
      </c>
      <c r="Z67" s="21">
        <f t="shared" ref="Z67:Z72" si="164">IF(E67="XX", "XX", Y67*2.041772658 )</f>
        <v>1.6184315877952511E-2</v>
      </c>
      <c r="AA67" s="21">
        <f t="shared" ref="AA67:AA72" si="165">IF(E67="XX", "XX", (H67*O67)/(0.62198+O67))</f>
        <v>1.8935297728818773E-2</v>
      </c>
      <c r="AB67" s="21">
        <f t="shared" ref="AB67:AB72" si="166">IF(E67="XX", "XX", LN(AA67*0.4897705))</f>
        <v>-4.6805458589651083</v>
      </c>
      <c r="AC67" s="70">
        <f t="shared" ref="AC67:AC72" si="167">IF(E67="XX", "XX", 0.62198*(Y67/(J67-Y67)))</f>
        <v>3.4433489684420184E-4</v>
      </c>
      <c r="AF67" s="1168">
        <f t="shared" ref="AF67:AJ72" si="168">B67</f>
        <v>11</v>
      </c>
      <c r="AG67" s="19">
        <f t="shared" si="168"/>
        <v>6</v>
      </c>
      <c r="AH67" s="1188">
        <f t="shared" si="168"/>
        <v>12</v>
      </c>
      <c r="AI67" s="19">
        <f t="shared" si="168"/>
        <v>704</v>
      </c>
      <c r="AJ67" s="1100">
        <f t="shared" si="168"/>
        <v>214.57920000000001</v>
      </c>
      <c r="AK67" s="1146">
        <f t="shared" ref="AK67:AK72" si="169">IF( (AG67&gt;0),1, 0)</f>
        <v>1</v>
      </c>
      <c r="AL67" s="97">
        <f t="shared" ref="AL67:AL72" si="170" xml:space="preserve"> IF(D67="XX", "XX", E67- $D$2)</f>
        <v>204</v>
      </c>
      <c r="AM67" s="75">
        <f t="shared" ref="AM67:AM72" si="171" xml:space="preserve"> IF(D67="XX", "XX", $AP$5 * R67 * (T67-$T$5)/$T$5 * $AR$5 * ($H$2-AL67))</f>
        <v>-0.13695931462151389</v>
      </c>
      <c r="AN67" s="75">
        <f t="shared" ref="AN67:AN72" si="172" xml:space="preserve"> IF(D67="XX", "XX", $AT$5 * $AP$6^2 * $AT$6 * R67 * K67^2/2)</f>
        <v>9.0831434563388828E-4</v>
      </c>
      <c r="AO67" s="75">
        <f t="shared" ref="AO67:AO72" si="173" xml:space="preserve"> IF(D67="XX", "XX", AM67 +AN67)</f>
        <v>-0.13605100027588002</v>
      </c>
      <c r="AP67" s="75">
        <f xml:space="preserve"> IF(D67="XX", "XX", AO67 +$Z$66)</f>
        <v>-0.11105100027588002</v>
      </c>
      <c r="AQ67" s="12">
        <f xml:space="preserve"> IF(D67="XX", 0, 60 * ($AC$66 * $AN$66 * (2 * ABS(AP67)/R67)^0.5))</f>
        <v>599.07854234622505</v>
      </c>
      <c r="AR67" s="13" t="str">
        <f t="shared" ref="AR67:AR72" si="174">IF(D67="XX", "XX", IF(AP67&lt;0, "Exfl", "Infl"))</f>
        <v>Exfl</v>
      </c>
      <c r="AS67" s="12">
        <f t="shared" ref="AS67:AS72" si="175" xml:space="preserve"> IF(AR67="Infl", -AQ67, AQ67)</f>
        <v>599.07854234622505</v>
      </c>
      <c r="AT67" s="98">
        <f>IF(D67="XX", "XX", AS67/$O$66)</f>
        <v>4.9923211862185422E-2</v>
      </c>
      <c r="AU67" s="12">
        <f t="shared" ref="AU67:AU72" si="176">IF(D67="XX", "XX", AS67*1.08*(L67-$L$6))</f>
        <v>-61935.339229363701</v>
      </c>
      <c r="AV67" s="1047">
        <f t="shared" ref="AV67:AV72" si="177" xml:space="preserve"> IF(D67="XX", 0, AS67 * 1.08 * 3000/1000)</f>
        <v>1941.0144772017693</v>
      </c>
    </row>
    <row r="68" spans="2:48" ht="21" customHeight="1">
      <c r="B68" s="1168">
        <f>'Input-Output'!BK63</f>
        <v>10</v>
      </c>
      <c r="C68" s="19">
        <f>'Input-Output'!BL63</f>
        <v>5</v>
      </c>
      <c r="D68" s="1188">
        <f>'Input-Output'!BM63</f>
        <v>11</v>
      </c>
      <c r="E68" s="19">
        <f>'Input-Output'!BN63</f>
        <v>689</v>
      </c>
      <c r="F68" s="19">
        <f>'Input-Output'!BO63</f>
        <v>210.00720000000001</v>
      </c>
      <c r="G68" s="20">
        <f t="shared" si="146"/>
        <v>98.827632038699221</v>
      </c>
      <c r="H68" s="20">
        <f t="shared" si="147"/>
        <v>29.263359382295011</v>
      </c>
      <c r="I68" s="20">
        <f t="shared" si="148"/>
        <v>397.14533962385866</v>
      </c>
      <c r="J68" s="20">
        <f t="shared" si="149"/>
        <v>14.333730548807956</v>
      </c>
      <c r="K68" s="20">
        <f t="shared" si="150"/>
        <v>12.165775401069519</v>
      </c>
      <c r="L68" s="27">
        <f t="shared" si="151"/>
        <v>-20.672840000000001</v>
      </c>
      <c r="M68" s="17">
        <f t="shared" si="152"/>
        <v>-20.442260000000001</v>
      </c>
      <c r="N68" s="22">
        <f t="shared" si="153"/>
        <v>-21.802872021960013</v>
      </c>
      <c r="O68" s="23">
        <f t="shared" si="154"/>
        <v>3.9940818331539544E-4</v>
      </c>
      <c r="P68" s="22">
        <f t="shared" si="155"/>
        <v>115.7255601039228</v>
      </c>
      <c r="Q68" s="102">
        <f t="shared" si="156"/>
        <v>11.323745910627986</v>
      </c>
      <c r="R68" s="106">
        <f t="shared" si="157"/>
        <v>8.8309999879231008E-2</v>
      </c>
      <c r="S68" s="32">
        <f t="shared" si="158"/>
        <v>-4.5413755817543215</v>
      </c>
      <c r="T68" s="24">
        <f t="shared" si="159"/>
        <v>439.02715999999998</v>
      </c>
      <c r="U68" s="66">
        <f t="shared" si="160"/>
        <v>439.25774000000001</v>
      </c>
      <c r="W68" s="1202">
        <f t="shared" si="161"/>
        <v>8.0443313374927872E-3</v>
      </c>
      <c r="X68" s="21">
        <f t="shared" si="162"/>
        <v>3.4926167789379613E-4</v>
      </c>
      <c r="Y68" s="23">
        <f t="shared" si="163"/>
        <v>7.9486191399410662E-3</v>
      </c>
      <c r="Z68" s="21">
        <f t="shared" si="164"/>
        <v>1.6229273228787148E-2</v>
      </c>
      <c r="AA68" s="21">
        <f t="shared" si="165"/>
        <v>1.8779582124518805E-2</v>
      </c>
      <c r="AB68" s="21">
        <f t="shared" si="166"/>
        <v>-4.6888034214828149</v>
      </c>
      <c r="AC68" s="70">
        <f t="shared" si="167"/>
        <v>3.4510382448458182E-4</v>
      </c>
      <c r="AF68" s="1168">
        <f t="shared" si="168"/>
        <v>10</v>
      </c>
      <c r="AG68" s="19">
        <f t="shared" si="168"/>
        <v>5</v>
      </c>
      <c r="AH68" s="1188">
        <f t="shared" si="168"/>
        <v>11</v>
      </c>
      <c r="AI68" s="19">
        <f t="shared" si="168"/>
        <v>689</v>
      </c>
      <c r="AJ68" s="1100">
        <f t="shared" si="168"/>
        <v>210.00720000000001</v>
      </c>
      <c r="AK68" s="1146">
        <f t="shared" si="169"/>
        <v>1</v>
      </c>
      <c r="AL68" s="97">
        <f t="shared" si="170"/>
        <v>189</v>
      </c>
      <c r="AM68" s="75">
        <f t="shared" si="171"/>
        <v>-0.14150125647688561</v>
      </c>
      <c r="AN68" s="75">
        <f t="shared" si="172"/>
        <v>8.8356024922778146E-4</v>
      </c>
      <c r="AO68" s="75">
        <f t="shared" si="173"/>
        <v>-0.14061769622765782</v>
      </c>
      <c r="AP68" s="75">
        <f t="shared" ref="AP68:AP72" si="178" xml:space="preserve"> IF(D68="XX", "XX", AO68 +$Z$66)</f>
        <v>-0.11561769622765783</v>
      </c>
      <c r="AQ68" s="12">
        <f t="shared" ref="AQ68:AQ72" si="179" xml:space="preserve"> IF(D68="XX", 0, 60 * ($AC$66 * $AN$66 * (2 * ABS(AP68)/R68)^0.5))</f>
        <v>611.14125159942239</v>
      </c>
      <c r="AR68" s="13" t="str">
        <f t="shared" si="174"/>
        <v>Exfl</v>
      </c>
      <c r="AS68" s="12">
        <f t="shared" si="175"/>
        <v>611.14125159942239</v>
      </c>
      <c r="AT68" s="98">
        <f t="shared" ref="AT68:AT71" si="180">IF(D68="XX", "XX", AS68/$O$66)</f>
        <v>5.0928437633285202E-2</v>
      </c>
      <c r="AU68" s="12">
        <f t="shared" si="176"/>
        <v>-63147.188716204997</v>
      </c>
      <c r="AV68" s="1047">
        <f t="shared" si="177"/>
        <v>1980.0976551821288</v>
      </c>
    </row>
    <row r="69" spans="2:48" ht="21" customHeight="1">
      <c r="B69" s="1168">
        <f>'Input-Output'!BK64</f>
        <v>9</v>
      </c>
      <c r="C69" s="19">
        <f>'Input-Output'!BL64</f>
        <v>4</v>
      </c>
      <c r="D69" s="1188">
        <f>'Input-Output'!BM64</f>
        <v>10</v>
      </c>
      <c r="E69" s="19">
        <f>'Input-Output'!BN64</f>
        <v>674</v>
      </c>
      <c r="F69" s="19">
        <f>'Input-Output'!BO64</f>
        <v>205.43520000000001</v>
      </c>
      <c r="G69" s="20">
        <f t="shared" si="146"/>
        <v>98.881465398804309</v>
      </c>
      <c r="H69" s="20">
        <f t="shared" si="147"/>
        <v>29.279299711239599</v>
      </c>
      <c r="I69" s="20">
        <f t="shared" si="148"/>
        <v>397.36167252226971</v>
      </c>
      <c r="J69" s="20">
        <f t="shared" si="149"/>
        <v>14.341538414506703</v>
      </c>
      <c r="K69" s="20">
        <f t="shared" si="150"/>
        <v>11.993888464476701</v>
      </c>
      <c r="L69" s="27">
        <f t="shared" si="151"/>
        <v>-20.619440000000001</v>
      </c>
      <c r="M69" s="17">
        <f t="shared" si="152"/>
        <v>-20.407160000000001</v>
      </c>
      <c r="N69" s="22">
        <f t="shared" si="153"/>
        <v>-21.992142134116513</v>
      </c>
      <c r="O69" s="23">
        <f t="shared" si="154"/>
        <v>3.9587509922118716E-4</v>
      </c>
      <c r="P69" s="22">
        <f t="shared" si="155"/>
        <v>114.44717729570763</v>
      </c>
      <c r="Q69" s="102">
        <f t="shared" si="156"/>
        <v>11.318893331493953</v>
      </c>
      <c r="R69" s="106">
        <f t="shared" si="157"/>
        <v>8.8347859699108272E-2</v>
      </c>
      <c r="S69" s="32">
        <f t="shared" si="158"/>
        <v>-4.5322663686743336</v>
      </c>
      <c r="T69" s="24">
        <f t="shared" si="159"/>
        <v>439.08055999999999</v>
      </c>
      <c r="U69" s="66">
        <f t="shared" si="160"/>
        <v>439.29284000000001</v>
      </c>
      <c r="W69" s="1202">
        <f t="shared" si="161"/>
        <v>8.0589920273137442E-3</v>
      </c>
      <c r="X69" s="21">
        <f t="shared" si="162"/>
        <v>3.4970796087985316E-4</v>
      </c>
      <c r="Y69" s="23">
        <f t="shared" si="163"/>
        <v>7.9706931454548609E-3</v>
      </c>
      <c r="Z69" s="21">
        <f t="shared" si="164"/>
        <v>1.6274343329697752E-2</v>
      </c>
      <c r="AA69" s="21">
        <f t="shared" si="165"/>
        <v>1.862370657677884E-2</v>
      </c>
      <c r="AB69" s="21">
        <f t="shared" si="166"/>
        <v>-4.6971383276126923</v>
      </c>
      <c r="AC69" s="70">
        <f t="shared" si="167"/>
        <v>3.4587423166262428E-4</v>
      </c>
      <c r="AF69" s="1168">
        <f t="shared" si="168"/>
        <v>9</v>
      </c>
      <c r="AG69" s="19">
        <f t="shared" si="168"/>
        <v>4</v>
      </c>
      <c r="AH69" s="1188">
        <f t="shared" si="168"/>
        <v>10</v>
      </c>
      <c r="AI69" s="19">
        <f t="shared" si="168"/>
        <v>674</v>
      </c>
      <c r="AJ69" s="1100">
        <f t="shared" si="168"/>
        <v>205.43520000000001</v>
      </c>
      <c r="AK69" s="1146">
        <f t="shared" si="169"/>
        <v>1</v>
      </c>
      <c r="AL69" s="97">
        <f t="shared" si="170"/>
        <v>174</v>
      </c>
      <c r="AM69" s="75">
        <f t="shared" si="171"/>
        <v>-0.14604196962447447</v>
      </c>
      <c r="AN69" s="75">
        <f t="shared" si="172"/>
        <v>8.5913762811315963E-4</v>
      </c>
      <c r="AO69" s="75">
        <f t="shared" si="173"/>
        <v>-0.14518283199636131</v>
      </c>
      <c r="AP69" s="75">
        <f t="shared" si="178"/>
        <v>-0.12018283199636132</v>
      </c>
      <c r="AQ69" s="12">
        <f t="shared" si="179"/>
        <v>622.95630537929594</v>
      </c>
      <c r="AR69" s="13" t="str">
        <f t="shared" si="174"/>
        <v>Exfl</v>
      </c>
      <c r="AS69" s="12">
        <f t="shared" si="175"/>
        <v>622.95630537929594</v>
      </c>
      <c r="AT69" s="98">
        <f t="shared" si="180"/>
        <v>5.1913025448274662E-2</v>
      </c>
      <c r="AU69" s="12">
        <f t="shared" si="176"/>
        <v>-64332.071710024247</v>
      </c>
      <c r="AV69" s="1047">
        <f t="shared" si="177"/>
        <v>2018.3784294289187</v>
      </c>
    </row>
    <row r="70" spans="2:48" ht="21" customHeight="1">
      <c r="B70" s="1168">
        <f>'Input-Output'!BK65</f>
        <v>8</v>
      </c>
      <c r="C70" s="19">
        <f>'Input-Output'!BL65</f>
        <v>3</v>
      </c>
      <c r="D70" s="1188">
        <f>'Input-Output'!BM65</f>
        <v>9</v>
      </c>
      <c r="E70" s="19">
        <f>'Input-Output'!BN65</f>
        <v>659</v>
      </c>
      <c r="F70" s="19">
        <f>'Input-Output'!BO65</f>
        <v>200.86320000000001</v>
      </c>
      <c r="G70" s="20">
        <f t="shared" si="146"/>
        <v>98.935322500845572</v>
      </c>
      <c r="H70" s="20">
        <f t="shared" si="147"/>
        <v>29.295247070291015</v>
      </c>
      <c r="I70" s="20">
        <f t="shared" si="148"/>
        <v>397.57810082921281</v>
      </c>
      <c r="J70" s="20">
        <f t="shared" si="149"/>
        <v>14.34934972368081</v>
      </c>
      <c r="K70" s="20">
        <f t="shared" si="150"/>
        <v>11.822001527883881</v>
      </c>
      <c r="L70" s="27">
        <f t="shared" si="151"/>
        <v>-20.566040000000001</v>
      </c>
      <c r="M70" s="17">
        <f t="shared" si="152"/>
        <v>-20.372060000000001</v>
      </c>
      <c r="N70" s="22">
        <f t="shared" si="153"/>
        <v>-22.183212077397094</v>
      </c>
      <c r="O70" s="23">
        <f t="shared" si="154"/>
        <v>3.9234240419546123E-4</v>
      </c>
      <c r="P70" s="22">
        <f t="shared" si="155"/>
        <v>113.1740913560207</v>
      </c>
      <c r="Q70" s="102">
        <f t="shared" si="156"/>
        <v>11.314043309569568</v>
      </c>
      <c r="R70" s="106">
        <f t="shared" si="157"/>
        <v>8.8385732018029906E-2</v>
      </c>
      <c r="S70" s="32">
        <f t="shared" si="158"/>
        <v>-4.5231569138814161</v>
      </c>
      <c r="T70" s="24">
        <f t="shared" si="159"/>
        <v>439.13396</v>
      </c>
      <c r="U70" s="66">
        <f t="shared" si="160"/>
        <v>439.32794000000001</v>
      </c>
      <c r="W70" s="1202">
        <f t="shared" si="161"/>
        <v>8.0736768400920117E-3</v>
      </c>
      <c r="X70" s="21">
        <f t="shared" si="162"/>
        <v>3.5015472156026638E-4</v>
      </c>
      <c r="Y70" s="23">
        <f t="shared" si="163"/>
        <v>7.9928224952441271E-3</v>
      </c>
      <c r="Z70" s="21">
        <f t="shared" si="164"/>
        <v>1.6319526431036794E-2</v>
      </c>
      <c r="AA70" s="21">
        <f t="shared" si="165"/>
        <v>1.8467671012915077E-2</v>
      </c>
      <c r="AB70" s="21">
        <f t="shared" si="166"/>
        <v>-4.7055519533376158</v>
      </c>
      <c r="AC70" s="70">
        <f t="shared" si="167"/>
        <v>3.4664612071546523E-4</v>
      </c>
      <c r="AF70" s="1168">
        <f t="shared" si="168"/>
        <v>8</v>
      </c>
      <c r="AG70" s="19">
        <f t="shared" si="168"/>
        <v>3</v>
      </c>
      <c r="AH70" s="1188">
        <f t="shared" si="168"/>
        <v>9</v>
      </c>
      <c r="AI70" s="19">
        <f t="shared" si="168"/>
        <v>659</v>
      </c>
      <c r="AJ70" s="1100">
        <f t="shared" si="168"/>
        <v>200.86320000000001</v>
      </c>
      <c r="AK70" s="1146">
        <f t="shared" si="169"/>
        <v>1</v>
      </c>
      <c r="AL70" s="97">
        <f t="shared" si="170"/>
        <v>159</v>
      </c>
      <c r="AM70" s="75">
        <f t="shared" si="171"/>
        <v>-0.15058144942367646</v>
      </c>
      <c r="AN70" s="75">
        <f t="shared" si="172"/>
        <v>8.3504692548582414E-4</v>
      </c>
      <c r="AO70" s="75">
        <f t="shared" si="173"/>
        <v>-0.14974640249819063</v>
      </c>
      <c r="AP70" s="75">
        <f t="shared" si="178"/>
        <v>-0.12474640249819063</v>
      </c>
      <c r="AQ70" s="12">
        <f t="shared" si="179"/>
        <v>634.53753783914601</v>
      </c>
      <c r="AR70" s="13" t="str">
        <f t="shared" si="174"/>
        <v>Exfl</v>
      </c>
      <c r="AS70" s="12">
        <f t="shared" si="175"/>
        <v>634.53753783914601</v>
      </c>
      <c r="AT70" s="98">
        <f t="shared" si="180"/>
        <v>5.287812815326217E-2</v>
      </c>
      <c r="AU70" s="12">
        <f t="shared" si="176"/>
        <v>-65491.458900448335</v>
      </c>
      <c r="AV70" s="1047">
        <f t="shared" si="177"/>
        <v>2055.901622598833</v>
      </c>
    </row>
    <row r="71" spans="2:48" ht="21" customHeight="1">
      <c r="B71" s="1168">
        <f>'Input-Output'!BK66</f>
        <v>7</v>
      </c>
      <c r="C71" s="19">
        <f>'Input-Output'!BL66</f>
        <v>2</v>
      </c>
      <c r="D71" s="1188">
        <f>'Input-Output'!BM66</f>
        <v>8</v>
      </c>
      <c r="E71" s="19">
        <f>'Input-Output'!BN66</f>
        <v>644</v>
      </c>
      <c r="F71" s="19">
        <f>'Input-Output'!BO66</f>
        <v>196.2912</v>
      </c>
      <c r="G71" s="20">
        <f t="shared" si="146"/>
        <v>98.989203352832334</v>
      </c>
      <c r="H71" s="20">
        <f t="shared" si="147"/>
        <v>29.311201461820861</v>
      </c>
      <c r="I71" s="20">
        <f t="shared" si="148"/>
        <v>397.79462457687407</v>
      </c>
      <c r="J71" s="20">
        <f t="shared" si="149"/>
        <v>14.35716447749193</v>
      </c>
      <c r="K71" s="20">
        <f t="shared" si="150"/>
        <v>11.650114591291063</v>
      </c>
      <c r="L71" s="27">
        <f t="shared" si="151"/>
        <v>-20.512640000000001</v>
      </c>
      <c r="M71" s="17">
        <f t="shared" si="152"/>
        <v>-20.336960000000001</v>
      </c>
      <c r="N71" s="22">
        <f t="shared" si="153"/>
        <v>-22.376114909930816</v>
      </c>
      <c r="O71" s="23">
        <f t="shared" si="154"/>
        <v>3.8881009862262158E-4</v>
      </c>
      <c r="P71" s="22">
        <f t="shared" si="155"/>
        <v>111.90628262406209</v>
      </c>
      <c r="Q71" s="102">
        <f t="shared" si="156"/>
        <v>11.30919584326519</v>
      </c>
      <c r="R71" s="106">
        <f t="shared" si="157"/>
        <v>8.8423616838814958E-2</v>
      </c>
      <c r="S71" s="32">
        <f t="shared" si="158"/>
        <v>-4.5140472169435446</v>
      </c>
      <c r="T71" s="24">
        <f t="shared" si="159"/>
        <v>439.18736000000001</v>
      </c>
      <c r="U71" s="66">
        <f t="shared" si="160"/>
        <v>439.36304000000001</v>
      </c>
      <c r="W71" s="1202">
        <f t="shared" si="161"/>
        <v>8.0883858109688563E-3</v>
      </c>
      <c r="X71" s="21">
        <f t="shared" si="162"/>
        <v>3.5060196033269908E-4</v>
      </c>
      <c r="Y71" s="23">
        <f t="shared" si="163"/>
        <v>8.0150073121578718E-3</v>
      </c>
      <c r="Z71" s="21">
        <f t="shared" si="164"/>
        <v>1.6364822783634016E-2</v>
      </c>
      <c r="AA71" s="21">
        <f t="shared" si="165"/>
        <v>1.8311475360264558E-2</v>
      </c>
      <c r="AB71" s="21">
        <f t="shared" si="166"/>
        <v>-4.7140457117360253</v>
      </c>
      <c r="AC71" s="70">
        <f t="shared" si="167"/>
        <v>3.4741949398297656E-4</v>
      </c>
      <c r="AF71" s="1168">
        <f t="shared" si="168"/>
        <v>7</v>
      </c>
      <c r="AG71" s="19">
        <f t="shared" si="168"/>
        <v>2</v>
      </c>
      <c r="AH71" s="1188">
        <f t="shared" si="168"/>
        <v>8</v>
      </c>
      <c r="AI71" s="19">
        <f t="shared" si="168"/>
        <v>644</v>
      </c>
      <c r="AJ71" s="1100">
        <f t="shared" si="168"/>
        <v>196.2912</v>
      </c>
      <c r="AK71" s="1146">
        <f t="shared" si="169"/>
        <v>1</v>
      </c>
      <c r="AL71" s="97">
        <f t="shared" si="170"/>
        <v>144</v>
      </c>
      <c r="AM71" s="75">
        <f t="shared" si="171"/>
        <v>-0.15511969123013666</v>
      </c>
      <c r="AN71" s="75">
        <f t="shared" si="172"/>
        <v>8.1128858483799885E-4</v>
      </c>
      <c r="AO71" s="75">
        <f t="shared" si="173"/>
        <v>-0.15430840264529866</v>
      </c>
      <c r="AP71" s="75">
        <f t="shared" si="178"/>
        <v>-0.12930840264529866</v>
      </c>
      <c r="AQ71" s="12">
        <f t="shared" si="179"/>
        <v>645.89752667375592</v>
      </c>
      <c r="AR71" s="13" t="str">
        <f t="shared" si="174"/>
        <v>Exfl</v>
      </c>
      <c r="AS71" s="12">
        <f t="shared" si="175"/>
        <v>645.89752667375592</v>
      </c>
      <c r="AT71" s="98">
        <f t="shared" si="180"/>
        <v>5.3824793889479659E-2</v>
      </c>
      <c r="AU71" s="12">
        <f t="shared" si="176"/>
        <v>-66626.68817744733</v>
      </c>
      <c r="AV71" s="1047">
        <f t="shared" si="177"/>
        <v>2092.7079864229695</v>
      </c>
    </row>
    <row r="72" spans="2:48" ht="21" customHeight="1" thickBot="1">
      <c r="B72" s="1168">
        <f>'Input-Output'!BK67</f>
        <v>6</v>
      </c>
      <c r="C72" s="19">
        <f>'Input-Output'!BL67</f>
        <v>1</v>
      </c>
      <c r="D72" s="1188">
        <f>'Input-Output'!BM67</f>
        <v>7</v>
      </c>
      <c r="E72" s="19">
        <f>'Input-Output'!BN67</f>
        <v>629</v>
      </c>
      <c r="F72" s="19">
        <f>'Input-Output'!BO67</f>
        <v>191.7192</v>
      </c>
      <c r="G72" s="20">
        <f t="shared" si="146"/>
        <v>99.043107962775991</v>
      </c>
      <c r="H72" s="20">
        <f t="shared" si="147"/>
        <v>29.327162888201347</v>
      </c>
      <c r="I72" s="20">
        <f t="shared" si="148"/>
        <v>398.01124379744772</v>
      </c>
      <c r="J72" s="20">
        <f t="shared" si="149"/>
        <v>14.364982677102018</v>
      </c>
      <c r="K72" s="20">
        <f t="shared" si="150"/>
        <v>11.478227654698243</v>
      </c>
      <c r="L72" s="27">
        <f t="shared" si="151"/>
        <v>-20.459240000000001</v>
      </c>
      <c r="M72" s="17">
        <f t="shared" si="152"/>
        <v>-20.301860000000001</v>
      </c>
      <c r="N72" s="22">
        <f t="shared" si="153"/>
        <v>-22.570884610432667</v>
      </c>
      <c r="O72" s="23">
        <f t="shared" si="154"/>
        <v>3.852781828872575E-4</v>
      </c>
      <c r="P72" s="22">
        <f t="shared" si="155"/>
        <v>110.64373151188987</v>
      </c>
      <c r="Q72" s="102">
        <f t="shared" si="156"/>
        <v>11.304350930992298</v>
      </c>
      <c r="R72" s="106">
        <f t="shared" si="157"/>
        <v>8.8461514164282926E-2</v>
      </c>
      <c r="S72" s="32">
        <f t="shared" si="158"/>
        <v>-4.5049372774284615</v>
      </c>
      <c r="T72" s="24">
        <f t="shared" si="159"/>
        <v>439.24075999999997</v>
      </c>
      <c r="U72" s="66">
        <f t="shared" si="160"/>
        <v>439.39814000000001</v>
      </c>
      <c r="W72" s="1202">
        <f t="shared" si="161"/>
        <v>8.1031189751292095E-3</v>
      </c>
      <c r="X72" s="21">
        <f t="shared" si="162"/>
        <v>3.5104967759501214E-4</v>
      </c>
      <c r="Y72" s="23">
        <f t="shared" si="163"/>
        <v>8.0372477192796696E-3</v>
      </c>
      <c r="Z72" s="21">
        <f t="shared" si="164"/>
        <v>1.6410232638798091E-2</v>
      </c>
      <c r="AA72" s="21">
        <f t="shared" si="165"/>
        <v>1.8155119546184723E-2</v>
      </c>
      <c r="AB72" s="21">
        <f t="shared" si="166"/>
        <v>-4.7226210543274973</v>
      </c>
      <c r="AC72" s="70">
        <f t="shared" si="167"/>
        <v>3.4819435380778593E-4</v>
      </c>
      <c r="AF72" s="1168">
        <f t="shared" si="168"/>
        <v>6</v>
      </c>
      <c r="AG72" s="19">
        <f t="shared" si="168"/>
        <v>1</v>
      </c>
      <c r="AH72" s="1188">
        <f t="shared" si="168"/>
        <v>7</v>
      </c>
      <c r="AI72" s="19">
        <f t="shared" si="168"/>
        <v>629</v>
      </c>
      <c r="AJ72" s="1100">
        <f t="shared" si="168"/>
        <v>191.7192</v>
      </c>
      <c r="AK72" s="1146">
        <f t="shared" si="169"/>
        <v>1</v>
      </c>
      <c r="AL72" s="97">
        <f t="shared" si="170"/>
        <v>129</v>
      </c>
      <c r="AM72" s="75">
        <f t="shared" si="171"/>
        <v>-0.15965669039574826</v>
      </c>
      <c r="AN72" s="75">
        <f t="shared" si="172"/>
        <v>7.8786304995844502E-4</v>
      </c>
      <c r="AO72" s="75">
        <f t="shared" si="173"/>
        <v>-0.1588688273457898</v>
      </c>
      <c r="AP72" s="75">
        <f t="shared" si="178"/>
        <v>-0.13386882734578981</v>
      </c>
      <c r="AQ72" s="12">
        <f t="shared" si="179"/>
        <v>657.04774752835192</v>
      </c>
      <c r="AR72" s="13" t="str">
        <f t="shared" si="174"/>
        <v>Exfl</v>
      </c>
      <c r="AS72" s="12">
        <f t="shared" si="175"/>
        <v>657.04774752835192</v>
      </c>
      <c r="AT72" s="98">
        <f>IF(D72="XX", "XX", AS72/$O$66)</f>
        <v>5.4753978960695997E-2</v>
      </c>
      <c r="AU72" s="12">
        <f t="shared" si="176"/>
        <v>-67738.980912589817</v>
      </c>
      <c r="AV72" s="1047">
        <f t="shared" si="177"/>
        <v>2128.8347019918601</v>
      </c>
    </row>
    <row r="73" spans="2:48" ht="21" customHeight="1">
      <c r="B73" s="1179" t="str">
        <f>'Input-Output'!BK68</f>
        <v>Section &gt;&gt;</v>
      </c>
      <c r="C73" s="1079"/>
      <c r="D73" s="1080" t="str">
        <f>'Input-Output'!BM68</f>
        <v>2-Rtl</v>
      </c>
      <c r="E73" s="1079" t="s">
        <v>873</v>
      </c>
      <c r="F73" s="1081">
        <f>'Input-Output'!BO68</f>
        <v>4</v>
      </c>
      <c r="G73" s="1082" t="s">
        <v>867</v>
      </c>
      <c r="H73" s="1083"/>
      <c r="I73" s="1081">
        <f>'Input-Output'!BC44</f>
        <v>74</v>
      </c>
      <c r="J73" s="1083" t="s">
        <v>874</v>
      </c>
      <c r="K73" s="1084">
        <f>'Input-Output'!BC46</f>
        <v>838.87827770183674</v>
      </c>
      <c r="L73" s="1073" t="s">
        <v>885</v>
      </c>
      <c r="M73" s="1085"/>
      <c r="N73" s="1086"/>
      <c r="O73" s="1081">
        <f>'Input-Output'!BC47</f>
        <v>15099.808998633061</v>
      </c>
      <c r="P73" s="1087" t="s">
        <v>869</v>
      </c>
      <c r="Q73" s="1088"/>
      <c r="R73" s="2302">
        <f>'Input-Output'!BC45</f>
        <v>224000</v>
      </c>
      <c r="S73" s="1087" t="s">
        <v>868</v>
      </c>
      <c r="T73" s="1089"/>
      <c r="U73" s="1090">
        <f>'Input-Output'!BC50</f>
        <v>50</v>
      </c>
      <c r="W73" s="1111" t="s">
        <v>103</v>
      </c>
      <c r="X73" s="1112"/>
      <c r="Y73" s="1112"/>
      <c r="Z73" s="1113">
        <f>'Input-Output'!BC32</f>
        <v>1.4999999999999999E-2</v>
      </c>
      <c r="AA73" s="35" t="s">
        <v>102</v>
      </c>
      <c r="AB73" s="10"/>
      <c r="AC73" s="1057">
        <f>'Input-Output'!BC31</f>
        <v>0.65</v>
      </c>
      <c r="AF73" s="1166" t="str">
        <f>B73</f>
        <v>Section &gt;&gt;</v>
      </c>
      <c r="AG73" s="1104"/>
      <c r="AH73" s="1105" t="str">
        <f>D73</f>
        <v>2-Rtl</v>
      </c>
      <c r="AI73" s="1104" t="str">
        <f>E73</f>
        <v>Flrs/S</v>
      </c>
      <c r="AJ73" s="1106">
        <f>F73</f>
        <v>4</v>
      </c>
      <c r="AK73" s="1207">
        <f>SUM(AK74:AK76)</f>
        <v>3</v>
      </c>
      <c r="AL73" s="1114" t="s">
        <v>112</v>
      </c>
      <c r="AM73" s="1115"/>
      <c r="AN73" s="1116">
        <f>'Input-Output'!BC55</f>
        <v>113.24856748974797</v>
      </c>
      <c r="AO73" s="1114" t="s">
        <v>882</v>
      </c>
      <c r="AP73" s="1117"/>
      <c r="AQ73" s="1118"/>
      <c r="AR73" s="1080">
        <f xml:space="preserve"> (SUM(AQ74:AQ76)/AK73) * AJ73</f>
        <v>33569.174478127818</v>
      </c>
      <c r="AS73" s="1114" t="s">
        <v>884</v>
      </c>
      <c r="AT73" s="1117"/>
      <c r="AU73" s="1118"/>
      <c r="AV73" s="1148">
        <f xml:space="preserve"> (SUM(AV74:AV76)/AK73) * AJ73</f>
        <v>108764.12530913414</v>
      </c>
    </row>
    <row r="74" spans="2:48" ht="21" customHeight="1">
      <c r="B74" s="1167">
        <f>'Input-Output'!BK69</f>
        <v>5</v>
      </c>
      <c r="C74" s="25">
        <f>'Input-Output'!BL69</f>
        <v>3</v>
      </c>
      <c r="D74" s="1187">
        <f>'Input-Output'!BM69</f>
        <v>5</v>
      </c>
      <c r="E74" s="25">
        <f>'Input-Output'!BN69</f>
        <v>594</v>
      </c>
      <c r="F74" s="25">
        <f>'Input-Output'!BO69</f>
        <v>181.05120000000002</v>
      </c>
      <c r="G74" s="26">
        <f t="shared" ref="G74:G75" si="181">IF(E74="XX","XX",((101325*(1-2.25577*(10^(-5))*F74)^5.2555)/1000))</f>
        <v>99.168977823048365</v>
      </c>
      <c r="H74" s="26">
        <f xml:space="preserve"> IF(E74="XX", "XX", G74*$AJ$5)</f>
        <v>29.364433587504429</v>
      </c>
      <c r="I74" s="26">
        <f>IF(E74="XX", "XX", G74*$AL$5)</f>
        <v>398.5170601099008</v>
      </c>
      <c r="J74" s="26">
        <f xml:space="preserve"> IF(E74="XX", "XX",G74*$AN$5)</f>
        <v>14.383238549717218</v>
      </c>
      <c r="K74" s="26">
        <f xml:space="preserve"> IF(E74="XX", "XX", ( $K$79 + $U$2 * (E74-$D$2)/$F$2 ) )</f>
        <v>11.077158135981666</v>
      </c>
      <c r="L74" s="27">
        <f xml:space="preserve"> IF(E74="XX", "XX", $L$79 - $AA$2*(E74-$E$79))</f>
        <v>-20.33464</v>
      </c>
      <c r="M74" s="27">
        <f>IF(E74="XX","XX ", $M$79-$AC$2*(E74-$E$79))</f>
        <v>-20.21996</v>
      </c>
      <c r="N74" s="28">
        <f>IF(E74="XX","XX",100.45+33.193*AB74+2.319*AB74^2+0.17074*AB74^3+1.2063*(AA74*0.4897705)^3)</f>
        <v>-23.032805379949647</v>
      </c>
      <c r="O74" s="29">
        <f>IF(E74="XX","XX ",((1093-0.556*M74)*X74-0.24*(L74-M74))/(1093+0.444*L74-M74))</f>
        <v>3.7703856436793347E-4</v>
      </c>
      <c r="P74" s="28">
        <f xml:space="preserve"> IF(E74="XX", "XX", ((O74/AC74)/(1-(1-(O74/AC74))*(Y74/J74)))*100)</f>
        <v>107.71811572809786</v>
      </c>
      <c r="Q74" s="41">
        <f xml:space="preserve"> IF(E74="XX", "XX", 0.7543*(T74*(1+1.6078*O74))/H74)</f>
        <v>11.293056059118992</v>
      </c>
      <c r="R74" s="42">
        <f xml:space="preserve"> IF(E74="XX", "XX", 1/Q74)</f>
        <v>8.8549989902203072E-2</v>
      </c>
      <c r="S74" s="37">
        <f>IF(E74="XX", "XX", 0.24*L74+O74*(1061+0.444*L74))</f>
        <v>-4.4836798061074301</v>
      </c>
      <c r="T74" s="30">
        <f>IF(E74="XX", "XX", L74+459.7)</f>
        <v>439.36536000000001</v>
      </c>
      <c r="U74" s="44">
        <f>IF(E74="XX", "XX", M74+459.7)</f>
        <v>439.48003999999997</v>
      </c>
      <c r="W74" s="1202">
        <f xml:space="preserve"> IF(E74="XX", "XX", EXP((-10440.397/U74)+(-11.29465) + (-0.027022355*U74) + (0.00001289036*U74*U74) + (-0.0000000024780681*U74^3)+(6.5459673*LN(U74))) )</f>
        <v>8.1375906411362674E-3</v>
      </c>
      <c r="X74" s="21">
        <f>IF(E74="XX", "XX", 0.62198*W74/(J74-W74))</f>
        <v>3.5209621423759678E-4</v>
      </c>
      <c r="Y74" s="23">
        <f xml:space="preserve"> IF(E74="XX", "XX", EXP((-10440.397/T74)+(-11.29465) + (-0.027022355*T74) + (0.00001289036*T74*T74) + (-0.0000000024780681*T74^3)+(6.5459673*LN(T74))) )</f>
        <v>8.0893588798590082E-3</v>
      </c>
      <c r="Z74" s="21">
        <f>IF(E74="XX", "XX", Y74*2.041772658 )</f>
        <v>1.6516631781645631E-2</v>
      </c>
      <c r="AA74" s="21">
        <f>IF(E74="XX", "XX", (H74*O74)/(0.62198+O74))</f>
        <v>1.7789666055435978E-2</v>
      </c>
      <c r="AB74" s="21">
        <f>IF(E74="XX", "XX", LN(AA74*0.4897705))</f>
        <v>-4.7429559138995652</v>
      </c>
      <c r="AC74" s="70">
        <f>IF(E74="XX", "XX", 0.62198*(Y74/(J74-Y74)))</f>
        <v>3.5000815430157099E-4</v>
      </c>
      <c r="AF74" s="1167">
        <f t="shared" ref="AF74:AJ76" si="182">B74</f>
        <v>5</v>
      </c>
      <c r="AG74" s="25">
        <f t="shared" si="182"/>
        <v>3</v>
      </c>
      <c r="AH74" s="1187">
        <f t="shared" si="182"/>
        <v>5</v>
      </c>
      <c r="AI74" s="25">
        <f t="shared" si="182"/>
        <v>594</v>
      </c>
      <c r="AJ74" s="1103">
        <f t="shared" si="182"/>
        <v>181.05120000000002</v>
      </c>
      <c r="AK74" s="1206">
        <f t="shared" ref="AK74:AK76" si="183">IF( (AG74&gt;0),1, 0)</f>
        <v>1</v>
      </c>
      <c r="AL74" s="1109">
        <f xml:space="preserve"> IF(D74="XX", "XX", E74- $D$2)</f>
        <v>94</v>
      </c>
      <c r="AM74" s="1018">
        <f xml:space="preserve"> IF(D74="XX", "XX", $AP$5 * R74 * (T74-$T$5)/$T$5 * $AR$5 * ($H$2-AL74))</f>
        <v>-0.17023816315213147</v>
      </c>
      <c r="AN74" s="1018">
        <f xml:space="preserve"> IF(D74="XX", "XX", $AT$5 * $AP$6^2 * $AT$6 * R74 * K74^2/2)</f>
        <v>7.3450020833672647E-4</v>
      </c>
      <c r="AO74" s="1018">
        <f xml:space="preserve"> IF(D74="XX", "XX", AM74 +AN74)</f>
        <v>-0.16950366294379474</v>
      </c>
      <c r="AP74" s="1018">
        <f xml:space="preserve"> IF(D74="XX", "XX", AO74 +$Z$73)</f>
        <v>-0.15450366294379475</v>
      </c>
      <c r="AQ74" s="12">
        <f xml:space="preserve"> IF(D74="XX", 0, 60 * ($AC$73 * $AN$73 * (2 * ABS(AP74)/R74)^0.5))</f>
        <v>8250.6365069820858</v>
      </c>
      <c r="AR74" s="1019" t="str">
        <f>IF(D74="XX", "XX", IF(AP74&lt;0, "Exfl", "Infl"))</f>
        <v>Exfl</v>
      </c>
      <c r="AS74" s="1006">
        <f t="shared" ref="AS74:AS76" si="184" xml:space="preserve"> IF(AR74="Infl", -AQ74, AQ74)</f>
        <v>8250.6365069820858</v>
      </c>
      <c r="AT74" s="1110">
        <f>IF(D74="XX", "XX", AS74/$O$73)</f>
        <v>0.54640668022549099</v>
      </c>
      <c r="AU74" s="1006">
        <f>IF(D74="XX", "XX", AS74*1.08*(L74-$L$6))</f>
        <v>-849497.17805711436</v>
      </c>
      <c r="AV74" s="1047">
        <f xml:space="preserve"> IF(D74="XX", 0, AS74 * 1.08 * 3000/1000)</f>
        <v>26732.062282621962</v>
      </c>
    </row>
    <row r="75" spans="2:48" ht="21" customHeight="1">
      <c r="B75" s="1168">
        <f>'Input-Output'!BK70</f>
        <v>4</v>
      </c>
      <c r="C75" s="19">
        <f>'Input-Output'!BL70</f>
        <v>2</v>
      </c>
      <c r="D75" s="1188">
        <f>'Input-Output'!BM70</f>
        <v>4</v>
      </c>
      <c r="E75" s="19">
        <f>'Input-Output'!BN70</f>
        <v>576</v>
      </c>
      <c r="F75" s="19">
        <f>'Input-Output'!BO70</f>
        <v>175.56480000000002</v>
      </c>
      <c r="G75" s="20">
        <f t="shared" si="181"/>
        <v>99.233761311135282</v>
      </c>
      <c r="H75" s="20">
        <f xml:space="preserve"> IF(E75="XX", "XX", G75*$AJ$5)</f>
        <v>29.383616304471516</v>
      </c>
      <c r="I75" s="20">
        <f>IF(E75="XX", "XX", G75*$AL$5)</f>
        <v>398.77739681783913</v>
      </c>
      <c r="J75" s="20">
        <f xml:space="preserve"> IF(E75="XX", "XX",G75*$AN$5)</f>
        <v>14.392634596582797</v>
      </c>
      <c r="K75" s="20">
        <f xml:space="preserve"> IF(E75="XX", "XX", ( $K$79 + $U$2 * (E75-$D$2)/$F$2 ) )</f>
        <v>10.870893812070282</v>
      </c>
      <c r="L75" s="27">
        <f xml:space="preserve"> IF(E75="XX", "XX", $L$79 - $AA$2*(E75-$E$79))</f>
        <v>-20.27056</v>
      </c>
      <c r="M75" s="17">
        <f>IF(E75="XX","XX ", $M$79-$AC$2*(E75-$E$79))</f>
        <v>-20.17784</v>
      </c>
      <c r="N75" s="22">
        <f>IF(E75="XX","XX",100.45+33.193*AB75+2.319*AB75^2+0.17074*AB75^3+1.2063*(AA75*0.4897705)^3)</f>
        <v>-23.274547843190742</v>
      </c>
      <c r="O75" s="23">
        <f>IF(E75="XX","XX ",((1093-0.556*M75)*X75-0.24*(L75-M75))/(1093+0.444*L75-M75))</f>
        <v>3.728018751400986E-4</v>
      </c>
      <c r="P75" s="22">
        <f xml:space="preserve"> IF(E75="XX", "XX", ((O75/AC75)/(1-(1-(O75/AC75))*(Y75/J75)))*100)</f>
        <v>106.22453767085159</v>
      </c>
      <c r="Q75" s="102">
        <f xml:space="preserve"> IF(E75="XX", "XX", 0.7543*(T75*(1+1.6078*O75))/H75)</f>
        <v>11.287252672477958</v>
      </c>
      <c r="R75" s="106">
        <f xml:space="preserve"> IF(E75="XX", "XX", 1/Q75)</f>
        <v>8.8595518237872845E-2</v>
      </c>
      <c r="S75" s="32">
        <f>IF(E75="XX", "XX", 0.24*L75+O75*(1061+0.444*L75))</f>
        <v>-4.4727468753098494</v>
      </c>
      <c r="T75" s="24">
        <f>IF(E75="XX", "XX", L75+459.7)</f>
        <v>439.42944</v>
      </c>
      <c r="U75" s="66">
        <f>IF(E75="XX", "XX", M75+459.7)</f>
        <v>439.52215999999999</v>
      </c>
      <c r="W75" s="1202">
        <f xml:space="preserve"> IF(E75="XX", "XX", EXP((-10440.397/U75)+(-11.29465) + (-0.027022355*U75) + (0.00001289036*U75*U75) + (-0.0000000024780681*U75^3)+(6.5459673*LN(U75))) )</f>
        <v>8.1553704372980748E-3</v>
      </c>
      <c r="X75" s="21">
        <f>IF(E75="XX", "XX", 0.62198*W75/(J75-W75))</f>
        <v>3.5263544997658492E-4</v>
      </c>
      <c r="Y75" s="23">
        <f xml:space="preserve"> IF(E75="XX", "XX", EXP((-10440.397/T75)+(-11.29465) + (-0.027022355*T75) + (0.00001289036*T75*T75) + (-0.0000000024780681*T75^3)+(6.5459673*LN(T75))) )</f>
        <v>8.1162775307582098E-3</v>
      </c>
      <c r="Z75" s="21">
        <f>IF(E75="XX", "XX", Y75*2.041772658 )</f>
        <v>1.6571593547041869E-2</v>
      </c>
      <c r="AA75" s="21">
        <f>IF(E75="XX", "XX", (H75*O75)/(0.62198+O75))</f>
        <v>1.7601378548789539E-2</v>
      </c>
      <c r="AB75" s="21">
        <f>IF(E75="XX", "XX", LN(AA75*0.4897705))</f>
        <v>-4.7535964183122825</v>
      </c>
      <c r="AC75" s="70">
        <f>IF(E75="XX", "XX", 0.62198*(Y75/(J75-Y75)))</f>
        <v>3.5094413219904561E-4</v>
      </c>
      <c r="AF75" s="1168">
        <f t="shared" si="182"/>
        <v>4</v>
      </c>
      <c r="AG75" s="19">
        <f t="shared" si="182"/>
        <v>2</v>
      </c>
      <c r="AH75" s="1188">
        <f t="shared" si="182"/>
        <v>4</v>
      </c>
      <c r="AI75" s="19">
        <f t="shared" si="182"/>
        <v>576</v>
      </c>
      <c r="AJ75" s="1100">
        <f t="shared" si="182"/>
        <v>175.56480000000002</v>
      </c>
      <c r="AK75" s="1146">
        <f t="shared" si="183"/>
        <v>1</v>
      </c>
      <c r="AL75" s="97">
        <f xml:space="preserve"> IF(D75="XX", "XX", E75- $D$2)</f>
        <v>76</v>
      </c>
      <c r="AM75" s="75">
        <f xml:space="preserve"> IF(D75="XX", "XX", $AP$5 * R75 * (T75-$T$5)/$T$5 * $AR$5 * ($H$2-AL75))</f>
        <v>-0.17567739985622877</v>
      </c>
      <c r="AN75" s="75">
        <f xml:space="preserve"> IF(D75="XX", "XX", $AT$5 * $AP$6^2 * $AT$6 * R75 * K75^2/2)</f>
        <v>7.0776479392144307E-4</v>
      </c>
      <c r="AO75" s="75">
        <f xml:space="preserve"> IF(D75="XX", "XX", AM75 +AN75)</f>
        <v>-0.17496963506230731</v>
      </c>
      <c r="AP75" s="75">
        <f xml:space="preserve"> IF(D75="XX", "XX", AO75 +$Z$73)</f>
        <v>-0.15996963506230732</v>
      </c>
      <c r="AQ75" s="12">
        <f xml:space="preserve"> IF(D75="XX", 0, 60 * ($AC$73 * $AN$73 * (2 * ABS(AP75)/R75)^0.5))</f>
        <v>8393.1545974589626</v>
      </c>
      <c r="AR75" s="13" t="str">
        <f>IF(D75="XX", "XX", IF(AP75&lt;0, "Exfl", "Infl"))</f>
        <v>Exfl</v>
      </c>
      <c r="AS75" s="12">
        <f t="shared" si="184"/>
        <v>8393.1545974589626</v>
      </c>
      <c r="AT75" s="98">
        <f>IF(D75="XX", "XX", AS75/$O$73)</f>
        <v>0.55584508375031561</v>
      </c>
      <c r="AU75" s="12">
        <f>IF(D75="XX", "XX", AS75*1.08*(L75-$L$6))</f>
        <v>-863590.18175980914</v>
      </c>
      <c r="AV75" s="1047">
        <f t="shared" ref="AV75:AV76" si="185" xml:space="preserve"> IF(D75="XX", 0, AS75 * 1.08 * 3000/1000)</f>
        <v>27193.820895767039</v>
      </c>
    </row>
    <row r="76" spans="2:48" ht="21" customHeight="1" thickBot="1">
      <c r="B76" s="1169">
        <f>'Input-Output'!BK71</f>
        <v>3</v>
      </c>
      <c r="C76" s="47">
        <f>'Input-Output'!BL71</f>
        <v>1</v>
      </c>
      <c r="D76" s="1189">
        <f>'Input-Output'!BM71</f>
        <v>3</v>
      </c>
      <c r="E76" s="47">
        <f>'Input-Output'!BN71</f>
        <v>558</v>
      </c>
      <c r="F76" s="47">
        <f>'Input-Output'!BO71</f>
        <v>170.07840000000002</v>
      </c>
      <c r="G76" s="48">
        <f>IF(E76="XX","XX",((101325*(1-2.25577*(10^(-5))*F76)^5.2555)/1000))</f>
        <v>99.298579063011957</v>
      </c>
      <c r="H76" s="48">
        <f xml:space="preserve"> IF(E76="XX", "XX", G76*$AJ$5)</f>
        <v>29.402809167119251</v>
      </c>
      <c r="I76" s="48">
        <f>IF(E76="XX", "XX", G76*$AL$5)</f>
        <v>399.03787121707029</v>
      </c>
      <c r="J76" s="48">
        <f xml:space="preserve"> IF(E76="XX", "XX",G76*$AN$5)</f>
        <v>14.402035612988977</v>
      </c>
      <c r="K76" s="48">
        <f xml:space="preserve"> IF(E76="XX", "XX", ( $K$79 + $U$2 * (E76-$D$2)/$F$2 ) )</f>
        <v>10.6646294881589</v>
      </c>
      <c r="L76" s="60">
        <f xml:space="preserve"> IF(E76="XX", "XX", $L$79 - $AA$2*(E76-$E$79))</f>
        <v>-20.206479999999999</v>
      </c>
      <c r="M76" s="60">
        <f>IF(E76="XX","XX ", $M$79-$AC$2*(E76-$E$79))</f>
        <v>-20.135719999999999</v>
      </c>
      <c r="N76" s="61">
        <f>IF(E76="XX","XX",100.45+33.193*AB76+2.319*AB76^2+0.17074*AB76^3+1.2063*(AA76*0.4897705)^3)</f>
        <v>-23.519218507167057</v>
      </c>
      <c r="O76" s="23">
        <f>IF(E76="XX","XX ",((1093-0.556*M76)*X76-0.24*(L76-M76))/(1093+0.444*L76-M76))</f>
        <v>3.6856574979250706E-4</v>
      </c>
      <c r="P76" s="61">
        <f xml:space="preserve"> IF(E76="XX", "XX", ((O76/AC76)/(1-(1-(O76/AC76))*(Y76/J76)))*100)</f>
        <v>104.73840402493249</v>
      </c>
      <c r="Q76" s="101">
        <f xml:space="preserve"> IF(E76="XX", "XX", 0.7543*(T76*(1+1.6078*O76))/H76)</f>
        <v>11.281452953293131</v>
      </c>
      <c r="R76" s="105">
        <f xml:space="preserve"> IF(E76="XX", "XX", 1/Q76)</f>
        <v>8.8641064598695446E-2</v>
      </c>
      <c r="S76" s="63">
        <f>IF(E76="XX", "XX", 0.24*L76+O76*(1061+0.444*L76))</f>
        <v>-4.4618135923747788</v>
      </c>
      <c r="T76" s="64">
        <f>IF(E76="XX", "XX", L76+459.7)</f>
        <v>439.49351999999999</v>
      </c>
      <c r="U76" s="65">
        <f>IF(E76="XX", "XX", M76+459.7)</f>
        <v>439.56428</v>
      </c>
      <c r="W76" s="1203">
        <f xml:space="preserve"> IF(E76="XX", "XX", EXP((-10440.397/U76)+(-11.29465) + (-0.027022355*U76) + (0.00001289036*U76*U76) + (-0.0000000024780681*U76^3)+(6.5459673*LN(U76))) )</f>
        <v>8.1731853022751384E-3</v>
      </c>
      <c r="X76" s="71">
        <f>IF(E76="XX", "XX", 0.62198*W76/(J76-W76))</f>
        <v>3.531753773421392E-4</v>
      </c>
      <c r="Y76" s="62">
        <f xml:space="preserve"> IF(E76="XX", "XX", EXP((-10440.397/T76)+(-11.29465) + (-0.027022355*T76) + (0.00001289036*T76*T76) + (-0.0000000024780681*T76^3)+(6.5459673*LN(T76))) )</f>
        <v>8.1432770393040279E-3</v>
      </c>
      <c r="Z76" s="71">
        <f>IF(E76="XX", "XX", Y76*2.041772658 )</f>
        <v>1.6626720405370159E-2</v>
      </c>
      <c r="AA76" s="71">
        <f>IF(E76="XX", "XX", (H76*O76)/(0.62198+O76))</f>
        <v>1.7412859935861304E-2</v>
      </c>
      <c r="AB76" s="71">
        <f>IF(E76="XX", "XX", LN(AA76*0.4897705))</f>
        <v>-4.7643646339134085</v>
      </c>
      <c r="AC76" s="74">
        <f>IF(E76="XX", "XX", 0.62198*(Y76/(J76-Y76)))</f>
        <v>3.5188226608144532E-4</v>
      </c>
      <c r="AF76" s="1169">
        <f t="shared" si="182"/>
        <v>3</v>
      </c>
      <c r="AG76" s="47">
        <f t="shared" si="182"/>
        <v>1</v>
      </c>
      <c r="AH76" s="1189">
        <f t="shared" si="182"/>
        <v>3</v>
      </c>
      <c r="AI76" s="47">
        <f t="shared" si="182"/>
        <v>558</v>
      </c>
      <c r="AJ76" s="1101">
        <f t="shared" si="182"/>
        <v>170.07840000000002</v>
      </c>
      <c r="AK76" s="1147">
        <f t="shared" si="183"/>
        <v>1</v>
      </c>
      <c r="AL76" s="99">
        <f xml:space="preserve"> IF(D76="XX", "XX", E76- $D$2)</f>
        <v>58</v>
      </c>
      <c r="AM76" s="1">
        <f xml:space="preserve"> IF(D76="XX", "XX", $AP$5 * R76 * (T76-$T$5)/$T$5 * $AR$5 * ($H$2-AL76))</f>
        <v>-0.18111481674663452</v>
      </c>
      <c r="AN76" s="1">
        <f xml:space="preserve"> IF(D76="XX", "XX", $AT$5 * $AP$6^2 * $AT$6 * R76 * K76^2/2)</f>
        <v>6.8151152224128894E-4</v>
      </c>
      <c r="AO76" s="1">
        <f xml:space="preserve"> IF(D76="XX", "XX", AM76 +AN76)</f>
        <v>-0.18043330522439321</v>
      </c>
      <c r="AP76" s="1">
        <f xml:space="preserve"> IF(D76="XX", "XX", AO76 +$Z$73)</f>
        <v>-0.1654333052243932</v>
      </c>
      <c r="AQ76" s="12">
        <f xml:space="preserve"> IF(D76="XX", 0, 60 * ($AC$73 * $AN$73 * (2 * ABS(AP76)/R76)^0.5))</f>
        <v>8533.0897541548147</v>
      </c>
      <c r="AR76" s="15" t="str">
        <f>IF(D76="XX", "XX", IF(AP76&lt;0, "Exfl", "Infl"))</f>
        <v>Exfl</v>
      </c>
      <c r="AS76" s="14">
        <f t="shared" si="184"/>
        <v>8533.0897541548147</v>
      </c>
      <c r="AT76" s="100">
        <f>IF(D76="XX", "XX", AS76/$O$73)</f>
        <v>0.56511242989413235</v>
      </c>
      <c r="AU76" s="14">
        <f>IF(D76="XX", "XX", AS76*1.08*(L76-$L$6))</f>
        <v>-877397.87413851696</v>
      </c>
      <c r="AV76" s="1047">
        <f t="shared" si="185"/>
        <v>27647.210803461599</v>
      </c>
    </row>
    <row r="77" spans="2:48" ht="21" customHeight="1">
      <c r="B77" s="1178" t="str">
        <f>'Input-Output'!BK72</f>
        <v>Section &gt;&gt;</v>
      </c>
      <c r="C77" s="1070"/>
      <c r="D77" s="1032" t="str">
        <f>'Input-Output'!BM72</f>
        <v>1-Grd</v>
      </c>
      <c r="E77" s="1070" t="s">
        <v>873</v>
      </c>
      <c r="F77" s="1033">
        <f>'Input-Output'!BO72</f>
        <v>2</v>
      </c>
      <c r="G77" s="1071" t="s">
        <v>867</v>
      </c>
      <c r="H77" s="1072"/>
      <c r="I77" s="1033">
        <f>'Input-Output'!BB44</f>
        <v>40</v>
      </c>
      <c r="J77" s="1072" t="s">
        <v>874</v>
      </c>
      <c r="K77" s="1067">
        <f>'Input-Output'!BB46</f>
        <v>982.39364688499484</v>
      </c>
      <c r="L77" s="1073" t="s">
        <v>885</v>
      </c>
      <c r="M77" s="1074"/>
      <c r="N77" s="1092"/>
      <c r="O77" s="2303">
        <f>'Input-Output'!BB47</f>
        <v>19647.872937699896</v>
      </c>
      <c r="P77" s="1076" t="s">
        <v>869</v>
      </c>
      <c r="Q77" s="1077"/>
      <c r="R77" s="2301">
        <f>'Input-Output'!BB45</f>
        <v>153600</v>
      </c>
      <c r="S77" s="1076" t="s">
        <v>868</v>
      </c>
      <c r="T77" s="1078"/>
      <c r="U77" s="1056">
        <f>'Input-Output'!BB50</f>
        <v>60</v>
      </c>
      <c r="W77" s="1111" t="s">
        <v>103</v>
      </c>
      <c r="X77" s="1112"/>
      <c r="Y77" s="1112"/>
      <c r="Z77" s="1113">
        <f>'Input-Output'!BB32</f>
        <v>5.0000000000000001E-3</v>
      </c>
      <c r="AA77" s="35" t="s">
        <v>102</v>
      </c>
      <c r="AB77" s="10"/>
      <c r="AC77" s="1057">
        <f>'Input-Output'!BB31</f>
        <v>0.65</v>
      </c>
      <c r="AF77" s="1166" t="str">
        <f>B77</f>
        <v>Section &gt;&gt;</v>
      </c>
      <c r="AG77" s="1104"/>
      <c r="AH77" s="1105" t="str">
        <f>D77</f>
        <v>1-Grd</v>
      </c>
      <c r="AI77" s="1104" t="str">
        <f>E77</f>
        <v>Flrs/S</v>
      </c>
      <c r="AJ77" s="1106">
        <f>F77</f>
        <v>2</v>
      </c>
      <c r="AK77" s="1207">
        <f>SUM(AK78:AK79)</f>
        <v>2</v>
      </c>
      <c r="AL77" s="1114" t="s">
        <v>112</v>
      </c>
      <c r="AM77" s="1115"/>
      <c r="AN77" s="1116">
        <f>'Input-Output'!BB55</f>
        <v>186.65479290814901</v>
      </c>
      <c r="AO77" s="1114" t="s">
        <v>882</v>
      </c>
      <c r="AP77" s="1117"/>
      <c r="AQ77" s="1118"/>
      <c r="AR77" s="1080">
        <f xml:space="preserve"> (SUM(AQ78:AQ79)/AK77) * AJ77</f>
        <v>30122.179406359777</v>
      </c>
      <c r="AS77" s="1114" t="s">
        <v>884</v>
      </c>
      <c r="AT77" s="1117"/>
      <c r="AU77" s="1118"/>
      <c r="AV77" s="1148">
        <f xml:space="preserve"> (SUM(AV78:AV79)/AK77) * AJ77</f>
        <v>97595.861276605676</v>
      </c>
    </row>
    <row r="78" spans="2:48" ht="21" customHeight="1">
      <c r="B78" s="1167">
        <f>'Input-Output'!BK73</f>
        <v>2</v>
      </c>
      <c r="C78" s="1094">
        <f>'Input-Output'!BL73</f>
        <v>2</v>
      </c>
      <c r="D78" s="1190">
        <f>'Input-Output'!BM73</f>
        <v>2</v>
      </c>
      <c r="E78" s="25">
        <f>'Input-Output'!BN73</f>
        <v>520</v>
      </c>
      <c r="F78" s="25">
        <f>'Input-Output'!BO73</f>
        <v>158.49600000000001</v>
      </c>
      <c r="G78" s="26">
        <f>IF(E78="XX","XX",((101325*(1-2.25577*(10^(-5))*F78)^5.2555)/1000))</f>
        <v>99.43552912217578</v>
      </c>
      <c r="H78" s="26">
        <f xml:space="preserve"> IF(E78="XX", "XX", G78*$AJ$5)</f>
        <v>29.443360769095996</v>
      </c>
      <c r="I78" s="26">
        <f>IF(E78="XX", "XX", G78*$AL$5)</f>
        <v>399.58821403755621</v>
      </c>
      <c r="J78" s="26">
        <f xml:space="preserve"> IF(E78="XX", "XX",G78*$AN$5)</f>
        <v>14.421898531954078</v>
      </c>
      <c r="K78" s="26">
        <f xml:space="preserve"> IF(E78="XX", "XX", ( $K$79 + $U$2 * (E78-$D$2)/$F$2 ) )</f>
        <v>10.229182582123759</v>
      </c>
      <c r="L78" s="27">
        <f xml:space="preserve"> IF(E78="XX", "XX", $L$79 - $AA$2*(E78-$E$79))</f>
        <v>-20.071200000000001</v>
      </c>
      <c r="M78" s="27">
        <f>IF(E78="XX","XX ", $M$79-$AC$2*(E78-$E$79))</f>
        <v>-20.046800000000001</v>
      </c>
      <c r="N78" s="28">
        <f>IF(E78="XX","XX",100.45+33.193*AB78+2.319*AB78^2+0.17074*AB78^3+1.2063*(AA78*0.4897705)^3)</f>
        <v>-24.045674572633896</v>
      </c>
      <c r="O78" s="29">
        <f>IF(E78="XX","XX ",((1093-0.556*M78)*X78-0.24*(L78-M78))/(1093+0.444*L78-M78))</f>
        <v>3.5962467325809469E-4</v>
      </c>
      <c r="P78" s="28">
        <f xml:space="preserve"> IF(E78="XX", "XX", ((O78/AC78)/(1-(1-(O78/AC78))*(Y78/J78)))*100)</f>
        <v>101.62530886390681</v>
      </c>
      <c r="Q78" s="41">
        <f xml:space="preserve"> IF(E78="XX", "XX", 0.7543*(T78*(1+1.6078*O78))/H78)</f>
        <v>11.269221133125797</v>
      </c>
      <c r="R78" s="42">
        <f xml:space="preserve"> IF(E78="XX", "XX", 1/Q78)</f>
        <v>8.8737277242746354E-2</v>
      </c>
      <c r="S78" s="37">
        <f>IF(E78="XX", "XX", 0.24*L78+O78*(1061+0.444*L78))</f>
        <v>-4.4387310575145644</v>
      </c>
      <c r="T78" s="30">
        <f>IF(E78="XX", "XX", L78+459.7)</f>
        <v>439.62880000000001</v>
      </c>
      <c r="U78" s="44">
        <f>IF(E78="XX", "XX", M78+459.7)</f>
        <v>439.65319999999997</v>
      </c>
      <c r="W78" s="1202">
        <f xml:space="preserve"> IF(E78="XX", "XX", EXP((-10440.397/U78)+(-11.29465) + (-0.027022355*U78) + (0.00001289036*U78*U78) + (-0.0000000024780681*U78^3)+(6.5459673*LN(U78))) )</f>
        <v>8.2109099015905112E-3</v>
      </c>
      <c r="X78" s="21">
        <f>IF(E78="XX", "XX", 0.62198*W78/(J78-W78))</f>
        <v>3.5431749837409296E-4</v>
      </c>
      <c r="Y78" s="23">
        <f xml:space="preserve"> IF(E78="XX", "XX", EXP((-10440.397/T78)+(-11.29465) + (-0.027022355*T78) + (0.00001289036*T78*T78) + (-0.0000000024780681*T78^3)+(6.5459673*LN(T78))) )</f>
        <v>8.2005425023854786E-3</v>
      </c>
      <c r="Z78" s="21">
        <f>IF(E78="XX", "XX", Y78*2.041772658 )</f>
        <v>1.674364346213757E-2</v>
      </c>
      <c r="AA78" s="21">
        <f>IF(E78="XX", "XX", (H78*O78)/(0.62198+O78))</f>
        <v>1.7014116691935817E-2</v>
      </c>
      <c r="AB78" s="21">
        <f>IF(E78="XX", "XX", LN(AA78*0.4897705))</f>
        <v>-4.7875302508113409</v>
      </c>
      <c r="AC78" s="70">
        <f>IF(E78="XX", "XX", 0.62198*(Y78/(J78-Y78)))</f>
        <v>3.5386986943714569E-4</v>
      </c>
      <c r="AF78" s="1167">
        <f t="shared" ref="AF78:AJ79" si="186">B78</f>
        <v>2</v>
      </c>
      <c r="AG78" s="25">
        <f t="shared" si="186"/>
        <v>2</v>
      </c>
      <c r="AH78" s="1187">
        <f t="shared" si="186"/>
        <v>2</v>
      </c>
      <c r="AI78" s="25">
        <f t="shared" si="186"/>
        <v>520</v>
      </c>
      <c r="AJ78" s="1103">
        <f t="shared" si="186"/>
        <v>158.49600000000001</v>
      </c>
      <c r="AK78" s="1206">
        <f t="shared" ref="AK78:AK79" si="187">IF( (AG78&gt;0),1, 0)</f>
        <v>1</v>
      </c>
      <c r="AL78" s="1109">
        <f xml:space="preserve"> IF(D78="XX", "XX", E78- $D$2)</f>
        <v>20</v>
      </c>
      <c r="AM78" s="1018">
        <f xml:space="preserve"> IF(D78="XX", "XX", $AP$5 * R78 * (T78-$T$5)/$T$5 * $AR$5 * ($H$2-AL78))</f>
        <v>-0.19258779546154844</v>
      </c>
      <c r="AN78" s="1018">
        <f xml:space="preserve"> IF(D78="XX", "XX", $AT$5 * $AP$6^2 * $AT$6 * R78 * K78^2/2)</f>
        <v>6.2767474648103621E-4</v>
      </c>
      <c r="AO78" s="1018">
        <f xml:space="preserve"> IF(D78="XX", "XX", AM78 +AN78)</f>
        <v>-0.19196012071506741</v>
      </c>
      <c r="AP78" s="1018">
        <f xml:space="preserve"> IF(D78="XX", "XX", AO78 +$Z$77)</f>
        <v>-0.1869601207150674</v>
      </c>
      <c r="AQ78" s="12">
        <f xml:space="preserve"> IF(D78="XX", 0, 60 * ($AC$77 * $AN$77 * (2 * ABS(AP78)/R78)^0.5))</f>
        <v>14943.082406439777</v>
      </c>
      <c r="AR78" s="1019" t="str">
        <f>IF(D78="XX", "XX", IF(AP78&lt;0, "Exfl", "Infl"))</f>
        <v>Exfl</v>
      </c>
      <c r="AS78" s="1006">
        <f t="shared" ref="AS78:AS79" si="188" xml:space="preserve"> IF(AR78="Infl", -AQ78, AQ78)</f>
        <v>14943.082406439777</v>
      </c>
      <c r="AT78" s="1110">
        <f>IF(D78="XX", "XX", AS78/$O$77)</f>
        <v>0.76054453598217886</v>
      </c>
      <c r="AU78" s="1006">
        <f>IF(D78="XX", "XX", AS78*1.08*(L78-$L$6))</f>
        <v>-1534309.3181654469</v>
      </c>
      <c r="AV78" s="1047">
        <f xml:space="preserve"> IF(D78="XX", 0, AS78 * 1.08 * 3000/1000)</f>
        <v>48415.586996864877</v>
      </c>
    </row>
    <row r="79" spans="2:48" ht="21" customHeight="1" thickBot="1">
      <c r="B79" s="1169">
        <f>'Input-Output'!BK74</f>
        <v>1</v>
      </c>
      <c r="C79" s="46">
        <f>'Input-Output'!BL74</f>
        <v>1</v>
      </c>
      <c r="D79" s="1181">
        <f>'Input-Output'!BM74</f>
        <v>1</v>
      </c>
      <c r="E79" s="47">
        <f>'Input-Output'!BN74</f>
        <v>500</v>
      </c>
      <c r="F79" s="47">
        <f>'Input-Output'!BO74</f>
        <v>152.4</v>
      </c>
      <c r="G79" s="48">
        <f>IF(E79="XX","XX",((101325*(1-2.25577*(10^(-5))*F79)^5.2555)/1000))</f>
        <v>99.507669506043712</v>
      </c>
      <c r="H79" s="48">
        <f xml:space="preserve"> IF(E79="XX", "XX", G79*$AJ$5)</f>
        <v>29.464721899941239</v>
      </c>
      <c r="I79" s="48">
        <f>IF(E79="XX", "XX", G79*$AL$5)</f>
        <v>399.87811491508211</v>
      </c>
      <c r="J79" s="48">
        <f xml:space="preserve"> IF(E79="XX", "XX",G79*$AN$5)</f>
        <v>14.432361605921546</v>
      </c>
      <c r="K79" s="48">
        <f>IF(E79="XX", "XX", 'Input-Output'!BI5)</f>
        <v>10</v>
      </c>
      <c r="L79" s="1069">
        <f>'Input-Output'!BI8</f>
        <v>-20</v>
      </c>
      <c r="M79" s="67">
        <f>'Input-Output'!BI9</f>
        <v>-20</v>
      </c>
      <c r="N79" s="61">
        <f>100.45+33.193*AB79+2.319*AB79^2+0.17074*AB79^3+1.2063*(AA79*0.4897705)^3</f>
        <v>-24.328352727300523</v>
      </c>
      <c r="O79" s="62">
        <f>((1093-0.556*M79)*X79 - 0.24*(L79-M79))/(1093 + 0.444*L79-M79)</f>
        <v>3.5491985623470134E-4</v>
      </c>
      <c r="P79" s="61">
        <f>((O79/AC79)/(1-(1-(O79/AC79))*(Y79/J79)))*100</f>
        <v>100</v>
      </c>
      <c r="Q79" s="101">
        <f>0.7543*(T79*(1+1.6078*O79))/H79</f>
        <v>11.26278988465387</v>
      </c>
      <c r="R79" s="105">
        <f xml:space="preserve"> 1/Q79</f>
        <v>8.8787947767946143E-2</v>
      </c>
      <c r="S79" s="63">
        <f>0.24*L79+O79*(1061+0.444*L79)</f>
        <v>-4.426581720858346</v>
      </c>
      <c r="T79" s="64">
        <f>L79+459.7</f>
        <v>439.7</v>
      </c>
      <c r="U79" s="65">
        <f>M79+459.7</f>
        <v>439.7</v>
      </c>
      <c r="W79" s="1203">
        <f xml:space="preserve"> EXP((-10440.397/U79)+(-11.29465) + (-0.027022355*U79) + (0.00001289036*U79*U79) + (-0.0000000024780681*U79^3)+(6.5459673*LN(U79)))</f>
        <v>8.2308280362673614E-3</v>
      </c>
      <c r="X79" s="71">
        <f>0.62198*W79/(J79-W79)</f>
        <v>3.5491985623470134E-4</v>
      </c>
      <c r="Y79" s="62">
        <f xml:space="preserve"> EXP((-10440.397/T79)+(-11.29465) + (-0.027022355*T79) + (0.00001289036*T79*T79) + (-0.0000000024780681*T79^3)+(6.5459673*LN(T79)))</f>
        <v>8.2308280362673614E-3</v>
      </c>
      <c r="Z79" s="71">
        <f>Y79*2.041772658</f>
        <v>1.6805479637150532E-2</v>
      </c>
      <c r="AA79" s="71">
        <f>(H79*O79)/(0.62198+O79)</f>
        <v>1.68038374949913E-2</v>
      </c>
      <c r="AB79" s="71">
        <f>LN(AA79*0.4897705)</f>
        <v>-4.7999663612790693</v>
      </c>
      <c r="AC79" s="74">
        <f>0.62198*(Y79/(J79-Y79))</f>
        <v>3.5491985623470134E-4</v>
      </c>
      <c r="AF79" s="1169">
        <f t="shared" si="186"/>
        <v>1</v>
      </c>
      <c r="AG79" s="47">
        <f t="shared" si="186"/>
        <v>1</v>
      </c>
      <c r="AH79" s="1189">
        <f t="shared" si="186"/>
        <v>1</v>
      </c>
      <c r="AI79" s="47">
        <f t="shared" si="186"/>
        <v>500</v>
      </c>
      <c r="AJ79" s="1101">
        <f t="shared" si="186"/>
        <v>152.4</v>
      </c>
      <c r="AK79" s="1147">
        <f t="shared" si="187"/>
        <v>1</v>
      </c>
      <c r="AL79" s="99">
        <f xml:space="preserve"> IF(D79="XX", "XX", E79- $D$2)</f>
        <v>0</v>
      </c>
      <c r="AM79" s="1">
        <f xml:space="preserve"> IF(D79="XX", "XX", $AP$5 * R79 * (T79-$T$5)/$T$5 * $AR$5 * ($H$2-AL79))</f>
        <v>-0.19862290746271499</v>
      </c>
      <c r="AN79" s="1">
        <f xml:space="preserve"> IF(D79="XX", "XX", $AT$5 * $AP$6^2 * $AT$6 * R79 * K79^2/2)</f>
        <v>6.0020652691131606E-4</v>
      </c>
      <c r="AO79" s="1">
        <f xml:space="preserve"> IF(D79="XX", "XX", AM79 +AN79)</f>
        <v>-0.19802270093580368</v>
      </c>
      <c r="AP79" s="1">
        <f xml:space="preserve"> IF(D79="XX", "XX", AO79 +$Z$77)</f>
        <v>-0.19302270093580368</v>
      </c>
      <c r="AQ79" s="14">
        <f xml:space="preserve"> IF(D79="XX", 0, 60 * ($AC$77 * $AN$77 * (2 * ABS(AP79)/R79)^0.5))</f>
        <v>15179.096999919999</v>
      </c>
      <c r="AR79" s="15" t="str">
        <f>IF(D79="XX", "XX", IF(AP79&lt;0, "Exfl", "Infl"))</f>
        <v>Exfl</v>
      </c>
      <c r="AS79" s="14">
        <f t="shared" si="188"/>
        <v>15179.096999919999</v>
      </c>
      <c r="AT79" s="100">
        <f>IF(D79="XX", "XX", AS79/$O$77)</f>
        <v>0.77255675706222071</v>
      </c>
      <c r="AU79" s="14">
        <f>IF(D79="XX", "XX", AS79*1.08*(L79-$L$6))</f>
        <v>-1557375.3521917919</v>
      </c>
      <c r="AV79" s="83">
        <f xml:space="preserve"> IF(D79="XX", 0, AS79 * 1.08 * 3000/1000)</f>
        <v>49180.274279740799</v>
      </c>
    </row>
  </sheetData>
  <mergeCells count="2">
    <mergeCell ref="K2:L2"/>
    <mergeCell ref="O2:P2"/>
  </mergeCells>
  <pageMargins left="0.7" right="0.7" top="0.75" bottom="0.75" header="0.3" footer="0.3"/>
  <pageSetup scale="58" orientation="landscape" r:id="rId1"/>
  <headerFooter>
    <oddHeader>&amp;L&amp;18&amp;F&amp;R&amp;18&amp;A</oddHeader>
    <oddFooter>&amp;L&amp;18Varkie C. Thomas, Ph.D., P.E.&amp;C&amp;18College of Architecture&amp;R&amp;18Illinois Institute Of Technology, Chicago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Q36"/>
  <sheetViews>
    <sheetView zoomScale="65" zoomScaleNormal="65" workbookViewId="0">
      <selection activeCell="AM25" sqref="AM25"/>
    </sheetView>
  </sheetViews>
  <sheetFormatPr defaultColWidth="3.8984375" defaultRowHeight="21" customHeight="1"/>
  <cols>
    <col min="1" max="1" width="1.59765625" style="201" customWidth="1"/>
    <col min="2" max="18" width="4.09765625" style="202" customWidth="1"/>
    <col min="19" max="40" width="4.09765625" style="203" customWidth="1"/>
    <col min="41" max="42" width="1.59765625" style="203" customWidth="1"/>
    <col min="43" max="100" width="2.796875" style="202" customWidth="1"/>
    <col min="101" max="102" width="1.59765625" style="202" customWidth="1"/>
    <col min="103" max="104" width="8.3984375" style="202" customWidth="1"/>
    <col min="105" max="105" width="9.69921875" style="202" customWidth="1"/>
    <col min="106" max="121" width="8.3984375" style="202" customWidth="1"/>
    <col min="122" max="123" width="1.59765625" style="202" customWidth="1"/>
    <col min="124" max="16384" width="3.8984375" style="202"/>
  </cols>
  <sheetData>
    <row r="1" spans="1:121" ht="10.050000000000001" customHeight="1"/>
    <row r="2" spans="1:121" ht="21" customHeight="1" thickBot="1">
      <c r="B2" s="204" t="s">
        <v>400</v>
      </c>
      <c r="AA2" s="205"/>
      <c r="AC2" s="206" t="s">
        <v>401</v>
      </c>
      <c r="AE2" s="205"/>
      <c r="AF2" s="205"/>
      <c r="AQ2" s="204" t="s">
        <v>400</v>
      </c>
      <c r="CE2" s="207" t="s">
        <v>401</v>
      </c>
      <c r="CY2" s="208" t="s">
        <v>402</v>
      </c>
      <c r="CZ2" s="209"/>
      <c r="DA2" s="209"/>
      <c r="DB2" s="209"/>
      <c r="DC2" s="209"/>
      <c r="DD2" s="209"/>
      <c r="DE2" s="209"/>
      <c r="DF2" s="209"/>
      <c r="DG2" s="210"/>
      <c r="DH2" s="210"/>
      <c r="DI2" s="211" t="s">
        <v>403</v>
      </c>
      <c r="DJ2" s="212"/>
      <c r="DK2" s="212"/>
      <c r="DL2" s="212"/>
      <c r="DM2" s="213" t="s">
        <v>404</v>
      </c>
      <c r="DN2" s="210"/>
      <c r="DO2" s="209"/>
      <c r="DP2" s="209"/>
      <c r="DQ2" s="209"/>
    </row>
    <row r="3" spans="1:121" s="205" customFormat="1" ht="21" customHeight="1" thickBot="1">
      <c r="A3" s="214"/>
      <c r="B3" s="215" t="s">
        <v>405</v>
      </c>
      <c r="E3" s="202"/>
      <c r="F3" s="202"/>
      <c r="G3" s="202"/>
      <c r="H3" s="202"/>
      <c r="I3" s="202"/>
      <c r="J3" s="202"/>
      <c r="K3" s="202"/>
      <c r="L3" s="202"/>
      <c r="M3" s="216"/>
      <c r="N3" s="217" t="s">
        <v>406</v>
      </c>
      <c r="O3" s="218"/>
      <c r="P3" s="2215" t="s">
        <v>407</v>
      </c>
      <c r="Q3" s="2216"/>
      <c r="R3" s="216"/>
      <c r="S3" s="217" t="s">
        <v>406</v>
      </c>
      <c r="T3" s="218"/>
      <c r="U3" s="2215" t="s">
        <v>407</v>
      </c>
      <c r="V3" s="2215"/>
      <c r="W3" s="219"/>
      <c r="X3" s="220" t="s">
        <v>408</v>
      </c>
      <c r="Y3" s="221"/>
      <c r="Z3" s="218"/>
      <c r="AA3" s="2217" t="s">
        <v>409</v>
      </c>
      <c r="AB3" s="2218"/>
      <c r="AC3" s="222"/>
      <c r="AD3" s="223" t="s">
        <v>410</v>
      </c>
      <c r="AE3" s="224"/>
      <c r="AF3" s="224"/>
      <c r="AG3" s="218"/>
      <c r="AH3" s="225"/>
      <c r="AI3" s="219" t="s">
        <v>411</v>
      </c>
      <c r="AJ3" s="218"/>
      <c r="AK3" s="218"/>
      <c r="AL3" s="218"/>
      <c r="AM3" s="218"/>
      <c r="AN3" s="226"/>
      <c r="AO3" s="227"/>
      <c r="AQ3" s="228" t="s">
        <v>412</v>
      </c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  <c r="BC3" s="229" t="s">
        <v>412</v>
      </c>
      <c r="BD3" s="214"/>
      <c r="BE3" s="214"/>
      <c r="BF3" s="214"/>
      <c r="BG3" s="214"/>
      <c r="BH3" s="214"/>
      <c r="BI3" s="214"/>
      <c r="BJ3" s="214"/>
      <c r="BK3" s="214"/>
      <c r="BL3" s="214"/>
      <c r="BM3" s="214"/>
      <c r="BN3" s="230"/>
      <c r="BQ3" s="231" t="s">
        <v>413</v>
      </c>
      <c r="BR3" s="202"/>
      <c r="CG3" s="232" t="s">
        <v>413</v>
      </c>
      <c r="CY3" s="208"/>
      <c r="CZ3" s="209"/>
      <c r="DA3" s="209"/>
      <c r="DB3" s="209"/>
      <c r="DC3" s="209"/>
      <c r="DD3" s="209"/>
      <c r="DE3" s="209"/>
      <c r="DF3" s="209"/>
      <c r="DG3" s="210"/>
      <c r="DH3" s="209"/>
      <c r="DI3" s="209"/>
      <c r="DJ3" s="209"/>
      <c r="DK3" s="209"/>
      <c r="DL3" s="209"/>
      <c r="DM3" s="209"/>
      <c r="DN3" s="209"/>
      <c r="DO3" s="209"/>
      <c r="DP3" s="209"/>
      <c r="DQ3" s="209"/>
    </row>
    <row r="4" spans="1:121" ht="21" customHeight="1" thickBot="1">
      <c r="D4" s="233" t="s">
        <v>414</v>
      </c>
      <c r="K4" s="205"/>
      <c r="M4" s="234" t="s">
        <v>415</v>
      </c>
      <c r="N4" s="235" t="s">
        <v>416</v>
      </c>
      <c r="O4" s="236"/>
      <c r="P4" s="2219">
        <v>200</v>
      </c>
      <c r="Q4" s="2220"/>
      <c r="R4" s="234" t="s">
        <v>417</v>
      </c>
      <c r="S4" s="237" t="s">
        <v>418</v>
      </c>
      <c r="T4" s="238"/>
      <c r="U4" s="2219">
        <v>900</v>
      </c>
      <c r="V4" s="2221"/>
      <c r="W4" s="239" t="s">
        <v>419</v>
      </c>
      <c r="X4" s="235" t="s">
        <v>420</v>
      </c>
      <c r="Y4" s="238"/>
      <c r="Z4" s="238"/>
      <c r="AA4" s="2222">
        <v>0.05</v>
      </c>
      <c r="AB4" s="2223"/>
      <c r="AC4" s="239" t="s">
        <v>421</v>
      </c>
      <c r="AD4" s="240" t="s">
        <v>420</v>
      </c>
      <c r="AE4" s="238"/>
      <c r="AF4" s="238"/>
      <c r="AG4" s="2207">
        <v>1</v>
      </c>
      <c r="AH4" s="2208"/>
      <c r="AI4" s="239" t="s">
        <v>422</v>
      </c>
      <c r="AJ4" s="240" t="s">
        <v>423</v>
      </c>
      <c r="AK4" s="238"/>
      <c r="AL4" s="238"/>
      <c r="AM4" s="2209">
        <v>100</v>
      </c>
      <c r="AN4" s="2210"/>
      <c r="AP4" s="227"/>
      <c r="AQ4" s="241" t="s">
        <v>424</v>
      </c>
      <c r="AR4" s="214"/>
      <c r="AS4" s="214"/>
      <c r="AT4" s="214"/>
      <c r="AU4" s="214"/>
      <c r="AV4" s="230"/>
      <c r="AW4" s="241" t="s">
        <v>425</v>
      </c>
      <c r="AX4" s="214"/>
      <c r="AY4" s="214"/>
      <c r="AZ4" s="214"/>
      <c r="BA4" s="214"/>
      <c r="BB4" s="230"/>
      <c r="BC4" s="241" t="s">
        <v>426</v>
      </c>
      <c r="BD4" s="214"/>
      <c r="BE4" s="214"/>
      <c r="BF4" s="214"/>
      <c r="BG4" s="214"/>
      <c r="BH4" s="230"/>
      <c r="BI4" s="241" t="s">
        <v>427</v>
      </c>
      <c r="BJ4" s="214"/>
      <c r="BK4" s="214"/>
      <c r="BL4" s="214"/>
      <c r="BM4" s="214"/>
      <c r="BN4" s="230"/>
      <c r="BO4" s="214"/>
      <c r="BP4" s="214"/>
      <c r="BQ4" s="242"/>
      <c r="BR4" s="243" t="s">
        <v>424</v>
      </c>
      <c r="BS4" s="205"/>
      <c r="BT4" s="205"/>
      <c r="BU4" s="205"/>
      <c r="BV4" s="205"/>
      <c r="BW4" s="205"/>
      <c r="BX4" s="230"/>
      <c r="BY4" s="242"/>
      <c r="BZ4" s="243" t="s">
        <v>425</v>
      </c>
      <c r="CA4" s="205"/>
      <c r="CB4" s="205"/>
      <c r="CC4" s="205"/>
      <c r="CD4" s="205"/>
      <c r="CE4" s="205"/>
      <c r="CF4" s="230"/>
      <c r="CG4" s="242"/>
      <c r="CH4" s="243" t="s">
        <v>426</v>
      </c>
      <c r="CI4" s="205"/>
      <c r="CJ4" s="205"/>
      <c r="CK4" s="205"/>
      <c r="CL4" s="205"/>
      <c r="CM4" s="205"/>
      <c r="CN4" s="230"/>
      <c r="CO4" s="242"/>
      <c r="CP4" s="243" t="s">
        <v>427</v>
      </c>
      <c r="CQ4" s="205"/>
      <c r="CR4" s="205"/>
      <c r="CS4" s="205"/>
      <c r="CT4" s="205"/>
      <c r="CU4" s="205"/>
      <c r="CV4" s="230"/>
      <c r="CX4" s="244"/>
      <c r="CY4" s="2211" t="s">
        <v>428</v>
      </c>
      <c r="CZ4" s="2189" t="s">
        <v>429</v>
      </c>
      <c r="DA4" s="2189" t="s">
        <v>430</v>
      </c>
      <c r="DB4" s="2189" t="s">
        <v>431</v>
      </c>
      <c r="DC4" s="2189" t="s">
        <v>432</v>
      </c>
      <c r="DD4" s="2189" t="s">
        <v>433</v>
      </c>
      <c r="DE4" s="2189" t="s">
        <v>434</v>
      </c>
      <c r="DF4" s="2189" t="s">
        <v>435</v>
      </c>
      <c r="DG4" s="2189" t="s">
        <v>436</v>
      </c>
      <c r="DH4" s="2189" t="s">
        <v>437</v>
      </c>
      <c r="DI4" s="2189" t="s">
        <v>438</v>
      </c>
      <c r="DJ4" s="2189" t="s">
        <v>439</v>
      </c>
      <c r="DK4" s="2189" t="s">
        <v>440</v>
      </c>
      <c r="DL4" s="2205" t="s">
        <v>441</v>
      </c>
      <c r="DM4" s="2189" t="s">
        <v>442</v>
      </c>
      <c r="DN4" s="2189" t="s">
        <v>443</v>
      </c>
      <c r="DO4" s="2189" t="s">
        <v>444</v>
      </c>
      <c r="DP4" s="2189" t="s">
        <v>445</v>
      </c>
      <c r="DQ4" s="2192" t="s">
        <v>446</v>
      </c>
    </row>
    <row r="5" spans="1:121" ht="21" customHeight="1" thickTop="1">
      <c r="B5" s="245"/>
      <c r="C5" s="246"/>
      <c r="D5" s="247" t="s">
        <v>447</v>
      </c>
      <c r="F5" s="248"/>
      <c r="L5" s="249"/>
      <c r="M5" s="250" t="s">
        <v>448</v>
      </c>
      <c r="N5" s="251" t="s">
        <v>449</v>
      </c>
      <c r="O5" s="201"/>
      <c r="P5" s="2195">
        <v>100</v>
      </c>
      <c r="Q5" s="2196"/>
      <c r="R5" s="234" t="s">
        <v>450</v>
      </c>
      <c r="S5" s="252" t="s">
        <v>451</v>
      </c>
      <c r="T5" s="253"/>
      <c r="U5" s="2195">
        <v>1300</v>
      </c>
      <c r="V5" s="2197"/>
      <c r="W5" s="239" t="s">
        <v>452</v>
      </c>
      <c r="X5" s="254" t="s">
        <v>453</v>
      </c>
      <c r="Y5" s="253"/>
      <c r="Z5" s="253"/>
      <c r="AA5" s="2198">
        <v>0.4</v>
      </c>
      <c r="AB5" s="2199"/>
      <c r="AC5" s="239" t="s">
        <v>454</v>
      </c>
      <c r="AD5" s="254" t="s">
        <v>453</v>
      </c>
      <c r="AE5" s="253"/>
      <c r="AF5" s="253"/>
      <c r="AG5" s="2200">
        <v>1</v>
      </c>
      <c r="AH5" s="2201"/>
      <c r="AI5" s="239" t="s">
        <v>455</v>
      </c>
      <c r="AJ5" s="254" t="s">
        <v>456</v>
      </c>
      <c r="AK5" s="253"/>
      <c r="AL5" s="253"/>
      <c r="AM5" s="2202">
        <v>500</v>
      </c>
      <c r="AN5" s="2203"/>
      <c r="AQ5" s="255" t="s">
        <v>457</v>
      </c>
      <c r="AR5" s="201"/>
      <c r="AS5" s="201"/>
      <c r="AT5" s="201"/>
      <c r="AU5" s="2097">
        <f>AB30</f>
        <v>25</v>
      </c>
      <c r="AV5" s="2204"/>
      <c r="AW5" s="255" t="s">
        <v>457</v>
      </c>
      <c r="AX5" s="201"/>
      <c r="AY5" s="201"/>
      <c r="AZ5" s="201"/>
      <c r="BA5" s="2097">
        <f>AD30</f>
        <v>40</v>
      </c>
      <c r="BB5" s="2204"/>
      <c r="BC5" s="255" t="s">
        <v>457</v>
      </c>
      <c r="BD5" s="201"/>
      <c r="BE5" s="201"/>
      <c r="BF5" s="201"/>
      <c r="BG5" s="2097">
        <f>AF30</f>
        <v>10</v>
      </c>
      <c r="BH5" s="2204"/>
      <c r="BI5" s="255" t="s">
        <v>457</v>
      </c>
      <c r="BJ5" s="201"/>
      <c r="BK5" s="201"/>
      <c r="BL5" s="201"/>
      <c r="BM5" s="2097">
        <f>AH30</f>
        <v>3</v>
      </c>
      <c r="BN5" s="2204"/>
      <c r="BO5" s="256"/>
      <c r="BP5" s="256"/>
      <c r="BQ5" s="257"/>
      <c r="BR5" s="258" t="s">
        <v>457</v>
      </c>
      <c r="BV5" s="2097">
        <f>AB30</f>
        <v>25</v>
      </c>
      <c r="BW5" s="2214"/>
      <c r="BX5" s="259"/>
      <c r="BY5" s="257"/>
      <c r="BZ5" s="258" t="s">
        <v>457</v>
      </c>
      <c r="CD5" s="2097">
        <f>AD30</f>
        <v>40</v>
      </c>
      <c r="CE5" s="2214"/>
      <c r="CF5" s="259"/>
      <c r="CG5" s="257"/>
      <c r="CH5" s="258" t="s">
        <v>457</v>
      </c>
      <c r="CL5" s="2097">
        <f>AF30</f>
        <v>10</v>
      </c>
      <c r="CM5" s="2214"/>
      <c r="CN5" s="259"/>
      <c r="CO5" s="257"/>
      <c r="CP5" s="258" t="s">
        <v>457</v>
      </c>
      <c r="CT5" s="2097">
        <f>AH30</f>
        <v>3</v>
      </c>
      <c r="CU5" s="2214"/>
      <c r="CV5" s="259"/>
      <c r="CY5" s="2212"/>
      <c r="CZ5" s="2190"/>
      <c r="DA5" s="2190"/>
      <c r="DB5" s="2190"/>
      <c r="DC5" s="2190"/>
      <c r="DD5" s="2190"/>
      <c r="DE5" s="2190"/>
      <c r="DF5" s="2190"/>
      <c r="DG5" s="2190"/>
      <c r="DH5" s="2190"/>
      <c r="DI5" s="2190"/>
      <c r="DJ5" s="2190"/>
      <c r="DK5" s="2190"/>
      <c r="DL5" s="2206"/>
      <c r="DM5" s="2190"/>
      <c r="DN5" s="2190"/>
      <c r="DO5" s="2190"/>
      <c r="DP5" s="2190"/>
      <c r="DQ5" s="2193"/>
    </row>
    <row r="6" spans="1:121" ht="21" customHeight="1" thickBot="1">
      <c r="B6" s="260" t="s">
        <v>458</v>
      </c>
      <c r="C6" s="261"/>
      <c r="D6" s="262"/>
      <c r="E6" s="263"/>
      <c r="F6" s="264"/>
      <c r="G6" s="265" t="s">
        <v>459</v>
      </c>
      <c r="M6" s="266" t="s">
        <v>460</v>
      </c>
      <c r="N6" s="267" t="s">
        <v>461</v>
      </c>
      <c r="O6" s="268"/>
      <c r="P6" s="2224">
        <v>650</v>
      </c>
      <c r="Q6" s="2225"/>
      <c r="R6" s="269" t="s">
        <v>462</v>
      </c>
      <c r="S6" s="270" t="s">
        <v>463</v>
      </c>
      <c r="T6" s="271"/>
      <c r="U6" s="2224">
        <v>1600</v>
      </c>
      <c r="V6" s="2226"/>
      <c r="W6" s="239" t="s">
        <v>464</v>
      </c>
      <c r="X6" s="254" t="s">
        <v>465</v>
      </c>
      <c r="Y6" s="253"/>
      <c r="Z6" s="253"/>
      <c r="AA6" s="2198">
        <v>0.7</v>
      </c>
      <c r="AB6" s="2199"/>
      <c r="AC6" s="239" t="s">
        <v>466</v>
      </c>
      <c r="AD6" s="254" t="s">
        <v>465</v>
      </c>
      <c r="AE6" s="253"/>
      <c r="AF6" s="253"/>
      <c r="AG6" s="2200">
        <v>1</v>
      </c>
      <c r="AH6" s="2201"/>
      <c r="AI6" s="239" t="s">
        <v>467</v>
      </c>
      <c r="AJ6" s="254" t="s">
        <v>468</v>
      </c>
      <c r="AK6" s="253"/>
      <c r="AL6" s="253"/>
      <c r="AM6" s="2202">
        <v>900</v>
      </c>
      <c r="AN6" s="2203"/>
      <c r="AO6" s="249"/>
      <c r="AQ6" s="272"/>
      <c r="AR6" s="2183" t="s">
        <v>469</v>
      </c>
      <c r="AS6" s="273"/>
      <c r="AT6" s="2187" t="s">
        <v>470</v>
      </c>
      <c r="AU6" s="274"/>
      <c r="AV6" s="275"/>
      <c r="AW6" s="272"/>
      <c r="AX6" s="2183" t="s">
        <v>469</v>
      </c>
      <c r="AY6" s="273"/>
      <c r="AZ6" s="2187" t="s">
        <v>470</v>
      </c>
      <c r="BA6" s="274"/>
      <c r="BB6" s="275"/>
      <c r="BC6" s="276"/>
      <c r="BD6" s="2183" t="s">
        <v>469</v>
      </c>
      <c r="BE6" s="273"/>
      <c r="BF6" s="2187" t="s">
        <v>470</v>
      </c>
      <c r="BG6" s="274"/>
      <c r="BH6" s="275"/>
      <c r="BI6" s="203"/>
      <c r="BJ6" s="2183" t="s">
        <v>469</v>
      </c>
      <c r="BK6" s="273"/>
      <c r="BL6" s="2187" t="s">
        <v>470</v>
      </c>
      <c r="BM6" s="274"/>
      <c r="BN6" s="275"/>
      <c r="BO6" s="253"/>
      <c r="BP6" s="253"/>
      <c r="BQ6" s="257"/>
      <c r="BR6" s="2183" t="s">
        <v>423</v>
      </c>
      <c r="BS6" s="2185" t="s">
        <v>471</v>
      </c>
      <c r="BT6" s="2181" t="s">
        <v>472</v>
      </c>
      <c r="BU6" s="2181" t="s">
        <v>473</v>
      </c>
      <c r="BV6" s="277"/>
      <c r="BW6" s="2167" t="s">
        <v>474</v>
      </c>
      <c r="BX6" s="259"/>
      <c r="BY6" s="257"/>
      <c r="BZ6" s="2183" t="s">
        <v>423</v>
      </c>
      <c r="CA6" s="2185" t="s">
        <v>471</v>
      </c>
      <c r="CB6" s="2181" t="s">
        <v>472</v>
      </c>
      <c r="CC6" s="2181" t="s">
        <v>473</v>
      </c>
      <c r="CD6" s="277"/>
      <c r="CE6" s="2167" t="s">
        <v>474</v>
      </c>
      <c r="CF6" s="259"/>
      <c r="CG6" s="257"/>
      <c r="CH6" s="2183" t="s">
        <v>423</v>
      </c>
      <c r="CI6" s="2185" t="s">
        <v>471</v>
      </c>
      <c r="CJ6" s="2181" t="s">
        <v>472</v>
      </c>
      <c r="CK6" s="2181" t="s">
        <v>473</v>
      </c>
      <c r="CL6" s="277"/>
      <c r="CM6" s="2167" t="s">
        <v>474</v>
      </c>
      <c r="CN6" s="259"/>
      <c r="CO6" s="257"/>
      <c r="CP6" s="2183" t="s">
        <v>423</v>
      </c>
      <c r="CQ6" s="2185" t="s">
        <v>471</v>
      </c>
      <c r="CR6" s="2181" t="s">
        <v>472</v>
      </c>
      <c r="CS6" s="2181" t="s">
        <v>473</v>
      </c>
      <c r="CT6" s="277"/>
      <c r="CU6" s="2167" t="s">
        <v>474</v>
      </c>
      <c r="CV6" s="259"/>
      <c r="CY6" s="2212"/>
      <c r="CZ6" s="2190"/>
      <c r="DA6" s="2190"/>
      <c r="DB6" s="2190"/>
      <c r="DC6" s="2190"/>
      <c r="DD6" s="2190"/>
      <c r="DE6" s="2190"/>
      <c r="DF6" s="2190"/>
      <c r="DG6" s="2190"/>
      <c r="DH6" s="2190"/>
      <c r="DI6" s="2190"/>
      <c r="DJ6" s="2190"/>
      <c r="DK6" s="2190"/>
      <c r="DL6" s="2206"/>
      <c r="DM6" s="2190"/>
      <c r="DN6" s="2190"/>
      <c r="DO6" s="2190"/>
      <c r="DP6" s="2190"/>
      <c r="DQ6" s="2193"/>
    </row>
    <row r="7" spans="1:121" ht="21" customHeight="1" thickBot="1">
      <c r="B7" s="278" t="s">
        <v>475</v>
      </c>
      <c r="C7" s="279"/>
      <c r="D7" s="280"/>
      <c r="E7" s="262"/>
      <c r="F7" s="281"/>
      <c r="G7" s="282"/>
      <c r="H7" s="283" t="s">
        <v>476</v>
      </c>
      <c r="I7" s="284"/>
      <c r="J7" s="285"/>
      <c r="K7" s="2169">
        <v>4</v>
      </c>
      <c r="L7" s="2170"/>
      <c r="M7" s="286" t="s">
        <v>477</v>
      </c>
      <c r="N7" s="271"/>
      <c r="O7" s="271"/>
      <c r="P7" s="268"/>
      <c r="Q7" s="268"/>
      <c r="R7" s="271"/>
      <c r="S7" s="271"/>
      <c r="T7" s="271"/>
      <c r="U7" s="2171">
        <v>1.5</v>
      </c>
      <c r="V7" s="2172"/>
      <c r="W7" s="287" t="s">
        <v>478</v>
      </c>
      <c r="X7" s="288" t="s">
        <v>479</v>
      </c>
      <c r="Y7" s="271"/>
      <c r="Z7" s="271"/>
      <c r="AA7" s="2173">
        <v>0.2</v>
      </c>
      <c r="AB7" s="2174"/>
      <c r="AC7" s="287" t="s">
        <v>480</v>
      </c>
      <c r="AD7" s="288" t="s">
        <v>481</v>
      </c>
      <c r="AE7" s="271"/>
      <c r="AF7" s="271"/>
      <c r="AG7" s="2175">
        <v>1</v>
      </c>
      <c r="AH7" s="2176"/>
      <c r="AI7" s="287" t="s">
        <v>482</v>
      </c>
      <c r="AJ7" s="288" t="s">
        <v>483</v>
      </c>
      <c r="AK7" s="271"/>
      <c r="AL7" s="271"/>
      <c r="AM7" s="2177">
        <v>100</v>
      </c>
      <c r="AN7" s="2178"/>
      <c r="AP7" s="289"/>
      <c r="AQ7" s="242"/>
      <c r="AR7" s="2183"/>
      <c r="AS7" s="290"/>
      <c r="AT7" s="2187"/>
      <c r="AU7" s="291"/>
      <c r="AV7" s="292"/>
      <c r="AW7" s="201"/>
      <c r="AX7" s="2183"/>
      <c r="AY7" s="290"/>
      <c r="AZ7" s="2187"/>
      <c r="BA7" s="291"/>
      <c r="BB7" s="292"/>
      <c r="BC7" s="201"/>
      <c r="BD7" s="2183"/>
      <c r="BE7" s="290"/>
      <c r="BF7" s="2187"/>
      <c r="BG7" s="291"/>
      <c r="BH7" s="292"/>
      <c r="BI7" s="201"/>
      <c r="BJ7" s="2183"/>
      <c r="BK7" s="290"/>
      <c r="BL7" s="2187"/>
      <c r="BM7" s="291"/>
      <c r="BN7" s="259"/>
      <c r="BO7" s="201"/>
      <c r="BP7" s="201"/>
      <c r="BQ7" s="242"/>
      <c r="BR7" s="2183"/>
      <c r="BS7" s="2185"/>
      <c r="BT7" s="2181"/>
      <c r="BU7" s="2181"/>
      <c r="BV7" s="277"/>
      <c r="BW7" s="2167"/>
      <c r="BX7" s="259"/>
      <c r="BY7" s="242"/>
      <c r="BZ7" s="2183"/>
      <c r="CA7" s="2185"/>
      <c r="CB7" s="2181"/>
      <c r="CC7" s="2181"/>
      <c r="CD7" s="277"/>
      <c r="CE7" s="2167"/>
      <c r="CF7" s="259"/>
      <c r="CG7" s="242"/>
      <c r="CH7" s="2183"/>
      <c r="CI7" s="2185"/>
      <c r="CJ7" s="2181"/>
      <c r="CK7" s="2181"/>
      <c r="CL7" s="277"/>
      <c r="CM7" s="2167"/>
      <c r="CN7" s="259"/>
      <c r="CO7" s="242"/>
      <c r="CP7" s="2183"/>
      <c r="CQ7" s="2185"/>
      <c r="CR7" s="2181"/>
      <c r="CS7" s="2181"/>
      <c r="CT7" s="277"/>
      <c r="CU7" s="2167"/>
      <c r="CV7" s="259"/>
      <c r="CY7" s="2212"/>
      <c r="CZ7" s="2190"/>
      <c r="DA7" s="2190"/>
      <c r="DB7" s="2190"/>
      <c r="DC7" s="2190"/>
      <c r="DD7" s="2190"/>
      <c r="DE7" s="2190"/>
      <c r="DF7" s="2190"/>
      <c r="DG7" s="2190"/>
      <c r="DH7" s="2190"/>
      <c r="DI7" s="2190"/>
      <c r="DJ7" s="2190"/>
      <c r="DK7" s="2190"/>
      <c r="DL7" s="2206"/>
      <c r="DM7" s="2190"/>
      <c r="DN7" s="2190"/>
      <c r="DO7" s="2190"/>
      <c r="DP7" s="2190"/>
      <c r="DQ7" s="2193"/>
    </row>
    <row r="8" spans="1:121" ht="21" customHeight="1" thickBot="1">
      <c r="B8" s="293" t="s">
        <v>484</v>
      </c>
      <c r="C8" s="294"/>
      <c r="D8" s="295"/>
      <c r="E8" s="296"/>
      <c r="F8" s="296"/>
      <c r="G8" s="296"/>
      <c r="H8" s="297"/>
      <c r="I8" s="298"/>
      <c r="J8" s="293" t="s">
        <v>485</v>
      </c>
      <c r="K8" s="296"/>
      <c r="L8" s="299"/>
      <c r="M8" s="300"/>
      <c r="N8" s="300"/>
      <c r="O8" s="300"/>
      <c r="P8" s="293" t="s">
        <v>486</v>
      </c>
      <c r="Q8" s="296"/>
      <c r="R8" s="280"/>
      <c r="S8" s="301"/>
      <c r="T8" s="301"/>
      <c r="U8" s="301"/>
      <c r="V8" s="301"/>
      <c r="W8" s="301"/>
      <c r="X8" s="301"/>
      <c r="Y8" s="301"/>
      <c r="Z8" s="301"/>
      <c r="AA8" s="301"/>
      <c r="AB8" s="301"/>
      <c r="AC8" s="301"/>
      <c r="AD8" s="301"/>
      <c r="AE8" s="301"/>
      <c r="AF8" s="301"/>
      <c r="AG8" s="301"/>
      <c r="AH8" s="301"/>
      <c r="AI8" s="301"/>
      <c r="AJ8" s="301"/>
      <c r="AK8" s="301"/>
      <c r="AL8" s="301"/>
      <c r="AM8" s="301"/>
      <c r="AN8" s="301"/>
      <c r="AQ8" s="242"/>
      <c r="AR8" s="2183"/>
      <c r="AS8" s="290"/>
      <c r="AT8" s="2187"/>
      <c r="AU8" s="291"/>
      <c r="AV8" s="292"/>
      <c r="AW8" s="201"/>
      <c r="AX8" s="2183"/>
      <c r="AY8" s="290"/>
      <c r="AZ8" s="2187"/>
      <c r="BA8" s="291"/>
      <c r="BB8" s="292"/>
      <c r="BC8" s="201"/>
      <c r="BD8" s="2183"/>
      <c r="BE8" s="290"/>
      <c r="BF8" s="2187"/>
      <c r="BG8" s="291"/>
      <c r="BH8" s="292"/>
      <c r="BI8" s="201"/>
      <c r="BJ8" s="2183"/>
      <c r="BK8" s="290"/>
      <c r="BL8" s="2187"/>
      <c r="BM8" s="291"/>
      <c r="BN8" s="259"/>
      <c r="BO8" s="201"/>
      <c r="BP8" s="201"/>
      <c r="BQ8" s="242"/>
      <c r="BR8" s="2183"/>
      <c r="BS8" s="2185"/>
      <c r="BT8" s="2181"/>
      <c r="BU8" s="2181"/>
      <c r="BV8" s="277"/>
      <c r="BW8" s="2167"/>
      <c r="BX8" s="259"/>
      <c r="BY8" s="242"/>
      <c r="BZ8" s="2183"/>
      <c r="CA8" s="2185"/>
      <c r="CB8" s="2181"/>
      <c r="CC8" s="2181"/>
      <c r="CD8" s="277"/>
      <c r="CE8" s="2167"/>
      <c r="CF8" s="259"/>
      <c r="CG8" s="242"/>
      <c r="CH8" s="2183"/>
      <c r="CI8" s="2185"/>
      <c r="CJ8" s="2181"/>
      <c r="CK8" s="2181"/>
      <c r="CL8" s="277"/>
      <c r="CM8" s="2167"/>
      <c r="CN8" s="259"/>
      <c r="CO8" s="242"/>
      <c r="CP8" s="2183"/>
      <c r="CQ8" s="2185"/>
      <c r="CR8" s="2181"/>
      <c r="CS8" s="2181"/>
      <c r="CT8" s="277"/>
      <c r="CU8" s="2167"/>
      <c r="CV8" s="259"/>
      <c r="CY8" s="2213"/>
      <c r="CZ8" s="2191"/>
      <c r="DA8" s="2191"/>
      <c r="DB8" s="2191"/>
      <c r="DC8" s="2191"/>
      <c r="DD8" s="2191"/>
      <c r="DE8" s="2191"/>
      <c r="DF8" s="2191"/>
      <c r="DG8" s="2191"/>
      <c r="DH8" s="2191"/>
      <c r="DI8" s="2191"/>
      <c r="DJ8" s="2191"/>
      <c r="DK8" s="2191"/>
      <c r="DL8" s="2206"/>
      <c r="DM8" s="2191"/>
      <c r="DN8" s="2191"/>
      <c r="DO8" s="2191"/>
      <c r="DP8" s="2191"/>
      <c r="DQ8" s="2194"/>
    </row>
    <row r="9" spans="1:121" ht="21" customHeight="1" thickTop="1" thickBot="1">
      <c r="A9" s="302"/>
      <c r="B9" s="303" t="s">
        <v>487</v>
      </c>
      <c r="C9" s="304"/>
      <c r="D9" s="305"/>
      <c r="E9" s="306"/>
      <c r="F9" s="307"/>
      <c r="G9" s="305"/>
      <c r="H9" s="308" t="s">
        <v>488</v>
      </c>
      <c r="I9" s="309"/>
      <c r="J9" s="310"/>
      <c r="K9" s="310"/>
      <c r="L9" s="310"/>
      <c r="M9" s="311" t="s">
        <v>489</v>
      </c>
      <c r="N9" s="280"/>
      <c r="O9" s="280"/>
      <c r="P9" s="280"/>
      <c r="Q9" s="280"/>
      <c r="R9" s="312"/>
      <c r="S9" s="2179" t="s">
        <v>490</v>
      </c>
      <c r="U9" s="313" t="s">
        <v>491</v>
      </c>
      <c r="V9" s="314"/>
      <c r="W9" s="314"/>
      <c r="X9" s="2119" t="s">
        <v>492</v>
      </c>
      <c r="Y9" s="2119"/>
      <c r="Z9" s="2119" t="s">
        <v>493</v>
      </c>
      <c r="AA9" s="2119"/>
      <c r="AB9" s="2119" t="s">
        <v>494</v>
      </c>
      <c r="AC9" s="2119"/>
      <c r="AD9" s="2119" t="s">
        <v>495</v>
      </c>
      <c r="AE9" s="2119"/>
      <c r="AF9" s="2157" t="s">
        <v>496</v>
      </c>
      <c r="AG9" s="315"/>
      <c r="AH9" s="316" t="s">
        <v>497</v>
      </c>
      <c r="AI9" s="317"/>
      <c r="AJ9" s="318"/>
      <c r="AK9" s="319" t="s">
        <v>498</v>
      </c>
      <c r="AL9" s="320"/>
      <c r="AM9" s="320"/>
      <c r="AN9" s="321"/>
      <c r="AQ9" s="242"/>
      <c r="AR9" s="2184"/>
      <c r="AS9" s="322"/>
      <c r="AT9" s="2188"/>
      <c r="AU9" s="291"/>
      <c r="AV9" s="292"/>
      <c r="AW9" s="201"/>
      <c r="AX9" s="2184"/>
      <c r="AY9" s="322"/>
      <c r="AZ9" s="2188"/>
      <c r="BA9" s="291"/>
      <c r="BB9" s="292"/>
      <c r="BC9" s="201"/>
      <c r="BD9" s="2184"/>
      <c r="BE9" s="322"/>
      <c r="BF9" s="2188"/>
      <c r="BG9" s="291"/>
      <c r="BH9" s="292"/>
      <c r="BI9" s="201"/>
      <c r="BJ9" s="2184"/>
      <c r="BK9" s="322"/>
      <c r="BL9" s="2188"/>
      <c r="BM9" s="291"/>
      <c r="BN9" s="259"/>
      <c r="BO9" s="323" t="s">
        <v>499</v>
      </c>
      <c r="BP9" s="248"/>
      <c r="BQ9" s="242"/>
      <c r="BR9" s="2184"/>
      <c r="BS9" s="2186"/>
      <c r="BT9" s="2182"/>
      <c r="BU9" s="2182"/>
      <c r="BV9" s="324"/>
      <c r="BW9" s="2168"/>
      <c r="BX9" s="259"/>
      <c r="BY9" s="242"/>
      <c r="BZ9" s="2184"/>
      <c r="CA9" s="2186"/>
      <c r="CB9" s="2182"/>
      <c r="CC9" s="2182"/>
      <c r="CD9" s="324"/>
      <c r="CE9" s="2168"/>
      <c r="CF9" s="259"/>
      <c r="CG9" s="242"/>
      <c r="CH9" s="2184"/>
      <c r="CI9" s="2186"/>
      <c r="CJ9" s="2182"/>
      <c r="CK9" s="2182"/>
      <c r="CL9" s="324"/>
      <c r="CM9" s="2168"/>
      <c r="CN9" s="259"/>
      <c r="CO9" s="242"/>
      <c r="CP9" s="2184"/>
      <c r="CQ9" s="2186"/>
      <c r="CR9" s="2182"/>
      <c r="CS9" s="2182"/>
      <c r="CT9" s="324"/>
      <c r="CU9" s="2168"/>
      <c r="CV9" s="259"/>
      <c r="CY9" s="325"/>
      <c r="CZ9" s="326"/>
      <c r="DA9" s="326"/>
      <c r="DB9" s="326"/>
      <c r="DC9" s="326"/>
      <c r="DD9" s="326"/>
      <c r="DE9" s="326"/>
      <c r="DF9" s="326"/>
      <c r="DG9" s="326"/>
      <c r="DH9" s="326"/>
      <c r="DI9" s="326"/>
      <c r="DJ9" s="326"/>
      <c r="DK9" s="326"/>
      <c r="DL9" s="326"/>
      <c r="DM9" s="326"/>
      <c r="DN9" s="326"/>
      <c r="DO9" s="326"/>
      <c r="DP9" s="326"/>
      <c r="DQ9" s="327"/>
    </row>
    <row r="10" spans="1:121" ht="21" customHeight="1" thickTop="1" thickBot="1">
      <c r="A10" s="302"/>
      <c r="B10" s="328"/>
      <c r="C10" s="329"/>
      <c r="D10" s="330"/>
      <c r="E10" s="331"/>
      <c r="F10" s="332"/>
      <c r="G10" s="329"/>
      <c r="H10" s="330"/>
      <c r="I10" s="333"/>
      <c r="J10" s="328"/>
      <c r="K10" s="329"/>
      <c r="L10" s="330"/>
      <c r="M10" s="331"/>
      <c r="N10" s="332"/>
      <c r="O10" s="329"/>
      <c r="P10" s="330"/>
      <c r="Q10" s="333"/>
      <c r="S10" s="2180"/>
      <c r="T10" s="334" t="s">
        <v>500</v>
      </c>
      <c r="U10" s="335"/>
      <c r="V10" s="336"/>
      <c r="W10" s="337"/>
      <c r="X10" s="2161" t="s">
        <v>501</v>
      </c>
      <c r="Y10" s="2161"/>
      <c r="Z10" s="2161" t="s">
        <v>502</v>
      </c>
      <c r="AA10" s="2161"/>
      <c r="AB10" s="2161" t="s">
        <v>503</v>
      </c>
      <c r="AC10" s="2161"/>
      <c r="AD10" s="2161" t="s">
        <v>504</v>
      </c>
      <c r="AE10" s="2162"/>
      <c r="AF10" s="2158"/>
      <c r="AG10" s="338"/>
      <c r="AH10" s="339" t="s">
        <v>505</v>
      </c>
      <c r="AI10" s="340"/>
      <c r="AJ10" s="341"/>
      <c r="AK10" s="342" t="s">
        <v>506</v>
      </c>
      <c r="AL10" s="343" t="s">
        <v>507</v>
      </c>
      <c r="AM10" s="343"/>
      <c r="AN10" s="344"/>
      <c r="AQ10" s="345"/>
      <c r="AR10" s="346"/>
      <c r="AS10" s="347"/>
      <c r="AT10" s="348"/>
      <c r="AU10" s="346"/>
      <c r="AV10" s="349"/>
      <c r="AW10" s="350"/>
      <c r="AX10" s="346"/>
      <c r="AY10" s="347"/>
      <c r="AZ10" s="348"/>
      <c r="BA10" s="346"/>
      <c r="BB10" s="349"/>
      <c r="BC10" s="350"/>
      <c r="BD10" s="346"/>
      <c r="BE10" s="347"/>
      <c r="BF10" s="348"/>
      <c r="BG10" s="346"/>
      <c r="BH10" s="349"/>
      <c r="BI10" s="350"/>
      <c r="BJ10" s="346"/>
      <c r="BK10" s="347"/>
      <c r="BL10" s="348"/>
      <c r="BM10" s="346"/>
      <c r="BN10" s="351"/>
      <c r="BQ10" s="345"/>
      <c r="BR10" s="346"/>
      <c r="BS10" s="347"/>
      <c r="BT10" s="352"/>
      <c r="BU10" s="352"/>
      <c r="BV10" s="353"/>
      <c r="BW10" s="346"/>
      <c r="BX10" s="354"/>
      <c r="BY10" s="345"/>
      <c r="BZ10" s="346"/>
      <c r="CA10" s="347"/>
      <c r="CB10" s="352"/>
      <c r="CC10" s="352"/>
      <c r="CD10" s="353"/>
      <c r="CE10" s="346"/>
      <c r="CF10" s="354"/>
      <c r="CG10" s="345"/>
      <c r="CH10" s="346"/>
      <c r="CI10" s="347"/>
      <c r="CJ10" s="352"/>
      <c r="CK10" s="352"/>
      <c r="CL10" s="353"/>
      <c r="CM10" s="346"/>
      <c r="CN10" s="354"/>
      <c r="CO10" s="345"/>
      <c r="CP10" s="346"/>
      <c r="CQ10" s="347"/>
      <c r="CR10" s="352"/>
      <c r="CS10" s="352"/>
      <c r="CT10" s="353"/>
      <c r="CU10" s="346"/>
      <c r="CV10" s="354"/>
      <c r="CY10" s="355"/>
      <c r="CZ10" s="356"/>
      <c r="DA10" s="357" t="s">
        <v>508</v>
      </c>
      <c r="DB10" s="358" t="s">
        <v>509</v>
      </c>
      <c r="DC10" s="359" t="s">
        <v>510</v>
      </c>
      <c r="DD10" s="360" t="s">
        <v>510</v>
      </c>
      <c r="DE10" s="361" t="s">
        <v>511</v>
      </c>
      <c r="DF10" s="362" t="s">
        <v>512</v>
      </c>
      <c r="DG10" s="358" t="s">
        <v>513</v>
      </c>
      <c r="DH10" s="363" t="s">
        <v>514</v>
      </c>
      <c r="DI10" s="363" t="s">
        <v>514</v>
      </c>
      <c r="DJ10" s="364" t="s">
        <v>514</v>
      </c>
      <c r="DK10" s="364" t="s">
        <v>514</v>
      </c>
      <c r="DL10" s="364" t="s">
        <v>514</v>
      </c>
      <c r="DM10" s="364" t="s">
        <v>514</v>
      </c>
      <c r="DN10" s="365" t="s">
        <v>515</v>
      </c>
      <c r="DO10" s="362"/>
      <c r="DP10" s="366" t="s">
        <v>516</v>
      </c>
      <c r="DQ10" s="367"/>
    </row>
    <row r="11" spans="1:121" ht="21" customHeight="1" thickBot="1">
      <c r="A11" s="302"/>
      <c r="B11" s="368"/>
      <c r="C11" s="369" t="s">
        <v>517</v>
      </c>
      <c r="D11" s="370"/>
      <c r="E11" s="371" t="s">
        <v>124</v>
      </c>
      <c r="F11" s="372"/>
      <c r="G11" s="369" t="s">
        <v>518</v>
      </c>
      <c r="H11" s="370"/>
      <c r="I11" s="373"/>
      <c r="J11" s="374"/>
      <c r="K11" s="369" t="s">
        <v>519</v>
      </c>
      <c r="L11" s="370"/>
      <c r="M11" s="375"/>
      <c r="N11" s="376" t="s">
        <v>124</v>
      </c>
      <c r="O11" s="369"/>
      <c r="P11" s="377" t="s">
        <v>520</v>
      </c>
      <c r="Q11" s="378"/>
      <c r="S11" s="379" t="s">
        <v>521</v>
      </c>
      <c r="T11" s="380" t="s">
        <v>522</v>
      </c>
      <c r="U11" s="336"/>
      <c r="V11" s="336"/>
      <c r="W11" s="337"/>
      <c r="X11" s="2163">
        <v>5</v>
      </c>
      <c r="Y11" s="2163"/>
      <c r="Z11" s="2163">
        <v>6</v>
      </c>
      <c r="AA11" s="2163"/>
      <c r="AB11" s="2163">
        <v>0</v>
      </c>
      <c r="AC11" s="2163"/>
      <c r="AD11" s="2163">
        <v>0</v>
      </c>
      <c r="AE11" s="2164"/>
      <c r="AF11" s="2159"/>
      <c r="AG11" s="381"/>
      <c r="AH11" s="339" t="s">
        <v>523</v>
      </c>
      <c r="AI11" s="382"/>
      <c r="AJ11" s="383"/>
      <c r="AK11" s="342" t="s">
        <v>524</v>
      </c>
      <c r="AL11" s="343" t="s">
        <v>525</v>
      </c>
      <c r="AM11" s="343"/>
      <c r="AN11" s="344"/>
      <c r="AQ11" s="384"/>
      <c r="AR11" s="385"/>
      <c r="AS11" s="322"/>
      <c r="AT11" s="386"/>
      <c r="AU11" s="385"/>
      <c r="AV11" s="387"/>
      <c r="AW11" s="388"/>
      <c r="AX11" s="385"/>
      <c r="AY11" s="322"/>
      <c r="AZ11" s="386"/>
      <c r="BA11" s="385"/>
      <c r="BB11" s="387"/>
      <c r="BC11" s="388"/>
      <c r="BD11" s="385"/>
      <c r="BE11" s="322"/>
      <c r="BF11" s="386"/>
      <c r="BG11" s="385"/>
      <c r="BH11" s="387"/>
      <c r="BI11" s="388"/>
      <c r="BJ11" s="385"/>
      <c r="BK11" s="322"/>
      <c r="BL11" s="386"/>
      <c r="BM11" s="385"/>
      <c r="BN11" s="389"/>
      <c r="BO11" s="323" t="s">
        <v>526</v>
      </c>
      <c r="BP11" s="323"/>
      <c r="BQ11" s="384"/>
      <c r="BR11" s="385"/>
      <c r="BS11" s="322"/>
      <c r="BT11" s="390"/>
      <c r="BU11" s="390"/>
      <c r="BV11" s="324"/>
      <c r="BW11" s="385"/>
      <c r="BX11" s="391"/>
      <c r="BY11" s="384"/>
      <c r="BZ11" s="385"/>
      <c r="CA11" s="322"/>
      <c r="CB11" s="390"/>
      <c r="CC11" s="390"/>
      <c r="CD11" s="324"/>
      <c r="CE11" s="385"/>
      <c r="CF11" s="391"/>
      <c r="CG11" s="384"/>
      <c r="CH11" s="385"/>
      <c r="CI11" s="322"/>
      <c r="CJ11" s="390"/>
      <c r="CK11" s="390"/>
      <c r="CL11" s="324"/>
      <c r="CM11" s="385"/>
      <c r="CN11" s="391"/>
      <c r="CO11" s="384"/>
      <c r="CP11" s="385"/>
      <c r="CQ11" s="322"/>
      <c r="CR11" s="390"/>
      <c r="CS11" s="390"/>
      <c r="CT11" s="324"/>
      <c r="CU11" s="385"/>
      <c r="CV11" s="391"/>
      <c r="CY11" s="392" t="s">
        <v>527</v>
      </c>
      <c r="CZ11" s="393"/>
      <c r="DA11" s="394"/>
      <c r="DB11" s="395">
        <v>500</v>
      </c>
      <c r="DC11" s="395">
        <v>1</v>
      </c>
      <c r="DD11" s="395">
        <v>0.25</v>
      </c>
      <c r="DE11" s="396"/>
      <c r="DF11" s="396"/>
      <c r="DG11" s="395">
        <v>40</v>
      </c>
      <c r="DH11" s="397">
        <v>2</v>
      </c>
      <c r="DI11" s="397">
        <v>2</v>
      </c>
      <c r="DJ11" s="398">
        <v>1</v>
      </c>
      <c r="DK11" s="398">
        <v>1</v>
      </c>
      <c r="DL11" s="398">
        <v>1</v>
      </c>
      <c r="DM11" s="398">
        <v>1</v>
      </c>
      <c r="DN11" s="396" t="s">
        <v>528</v>
      </c>
      <c r="DO11" s="399" t="s">
        <v>529</v>
      </c>
      <c r="DP11" s="400" t="s">
        <v>530</v>
      </c>
      <c r="DQ11" s="401" t="s">
        <v>529</v>
      </c>
    </row>
    <row r="12" spans="1:121" ht="21" customHeight="1" thickTop="1" thickBot="1">
      <c r="A12" s="302"/>
      <c r="B12" s="402"/>
      <c r="C12" s="403"/>
      <c r="D12" s="404"/>
      <c r="E12" s="405" t="s">
        <v>531</v>
      </c>
      <c r="F12" s="406" t="s">
        <v>532</v>
      </c>
      <c r="G12" s="403"/>
      <c r="H12" s="403"/>
      <c r="I12" s="407"/>
      <c r="J12" s="374"/>
      <c r="K12" s="403"/>
      <c r="L12" s="370"/>
      <c r="M12" s="408" t="s">
        <v>533</v>
      </c>
      <c r="N12" s="409" t="s">
        <v>531</v>
      </c>
      <c r="O12" s="410"/>
      <c r="P12" s="411"/>
      <c r="Q12" s="412"/>
      <c r="S12" s="379" t="s">
        <v>534</v>
      </c>
      <c r="T12" s="413" t="s">
        <v>535</v>
      </c>
      <c r="U12" s="201"/>
      <c r="V12" s="201"/>
      <c r="W12" s="253"/>
      <c r="X12" s="2165">
        <v>6</v>
      </c>
      <c r="Y12" s="2165"/>
      <c r="Z12" s="2165">
        <v>9</v>
      </c>
      <c r="AA12" s="2165"/>
      <c r="AB12" s="2165">
        <v>12</v>
      </c>
      <c r="AC12" s="2165"/>
      <c r="AD12" s="2165">
        <v>5</v>
      </c>
      <c r="AE12" s="2166"/>
      <c r="AF12" s="2159"/>
      <c r="AG12" s="414"/>
      <c r="AH12" s="339" t="s">
        <v>536</v>
      </c>
      <c r="AI12" s="340"/>
      <c r="AJ12" s="341"/>
      <c r="AK12" s="342" t="s">
        <v>537</v>
      </c>
      <c r="AL12" s="343" t="s">
        <v>538</v>
      </c>
      <c r="AM12" s="343"/>
      <c r="AN12" s="344"/>
      <c r="AQ12" s="345"/>
      <c r="AR12" s="346"/>
      <c r="AS12" s="347"/>
      <c r="AT12" s="348"/>
      <c r="AU12" s="346"/>
      <c r="AV12" s="292"/>
      <c r="AW12" s="201"/>
      <c r="AX12" s="346"/>
      <c r="AY12" s="347"/>
      <c r="AZ12" s="348"/>
      <c r="BA12" s="346"/>
      <c r="BB12" s="292"/>
      <c r="BC12" s="201"/>
      <c r="BD12" s="346"/>
      <c r="BE12" s="347"/>
      <c r="BF12" s="348"/>
      <c r="BG12" s="346"/>
      <c r="BH12" s="292"/>
      <c r="BI12" s="201"/>
      <c r="BJ12" s="346"/>
      <c r="BK12" s="347"/>
      <c r="BL12" s="348"/>
      <c r="BM12" s="346"/>
      <c r="BN12" s="259"/>
      <c r="BQ12" s="242"/>
      <c r="BR12" s="346"/>
      <c r="BS12" s="347"/>
      <c r="BT12" s="352"/>
      <c r="BU12" s="352"/>
      <c r="BV12" s="353"/>
      <c r="BW12" s="346"/>
      <c r="BX12" s="259"/>
      <c r="BY12" s="242"/>
      <c r="BZ12" s="346"/>
      <c r="CA12" s="347"/>
      <c r="CB12" s="352"/>
      <c r="CC12" s="352"/>
      <c r="CD12" s="353"/>
      <c r="CE12" s="346"/>
      <c r="CF12" s="259"/>
      <c r="CG12" s="242"/>
      <c r="CH12" s="346"/>
      <c r="CI12" s="347"/>
      <c r="CJ12" s="352"/>
      <c r="CK12" s="352"/>
      <c r="CL12" s="353"/>
      <c r="CM12" s="346"/>
      <c r="CN12" s="259"/>
      <c r="CO12" s="242"/>
      <c r="CP12" s="346"/>
      <c r="CQ12" s="347"/>
      <c r="CR12" s="352"/>
      <c r="CS12" s="352"/>
      <c r="CT12" s="353"/>
      <c r="CU12" s="346"/>
      <c r="CV12" s="259"/>
      <c r="CY12" s="415" t="s">
        <v>539</v>
      </c>
      <c r="CZ12" s="416"/>
      <c r="DA12" s="417"/>
      <c r="DB12" s="418"/>
      <c r="DC12" s="418"/>
      <c r="DD12" s="418"/>
      <c r="DE12" s="419"/>
      <c r="DF12" s="420"/>
      <c r="DG12" s="418"/>
      <c r="DH12" s="418"/>
      <c r="DI12" s="418"/>
      <c r="DJ12" s="418"/>
      <c r="DK12" s="418"/>
      <c r="DL12" s="418"/>
      <c r="DM12" s="418"/>
      <c r="DN12" s="421" t="s">
        <v>540</v>
      </c>
      <c r="DO12" s="422">
        <v>75</v>
      </c>
      <c r="DP12" s="419" t="s">
        <v>541</v>
      </c>
      <c r="DQ12" s="423">
        <v>70</v>
      </c>
    </row>
    <row r="13" spans="1:121" ht="21" customHeight="1" thickTop="1" thickBot="1">
      <c r="A13" s="302"/>
      <c r="B13" s="424"/>
      <c r="C13" s="425"/>
      <c r="D13" s="426"/>
      <c r="E13" s="427"/>
      <c r="F13" s="428"/>
      <c r="G13" s="409" t="s">
        <v>531</v>
      </c>
      <c r="H13" s="429" t="s">
        <v>124</v>
      </c>
      <c r="I13" s="430"/>
      <c r="J13" s="431"/>
      <c r="K13" s="432" t="s">
        <v>124</v>
      </c>
      <c r="L13" s="433" t="s">
        <v>531</v>
      </c>
      <c r="M13" s="434"/>
      <c r="N13" s="428"/>
      <c r="O13" s="435" t="s">
        <v>533</v>
      </c>
      <c r="P13" s="425"/>
      <c r="Q13" s="436"/>
      <c r="S13" s="379" t="s">
        <v>542</v>
      </c>
      <c r="T13" s="413" t="s">
        <v>543</v>
      </c>
      <c r="U13" s="201"/>
      <c r="V13" s="201"/>
      <c r="W13" s="253"/>
      <c r="X13" s="2165">
        <v>4</v>
      </c>
      <c r="Y13" s="2165"/>
      <c r="Z13" s="2165">
        <v>0</v>
      </c>
      <c r="AA13" s="2165"/>
      <c r="AB13" s="2165">
        <v>8</v>
      </c>
      <c r="AC13" s="2165"/>
      <c r="AD13" s="2165">
        <v>15</v>
      </c>
      <c r="AE13" s="2166"/>
      <c r="AF13" s="2160"/>
      <c r="AG13" s="437" t="s">
        <v>533</v>
      </c>
      <c r="AH13" s="438" t="s">
        <v>544</v>
      </c>
      <c r="AI13" s="439"/>
      <c r="AJ13" s="440"/>
      <c r="AK13" s="441" t="s">
        <v>545</v>
      </c>
      <c r="AL13" s="442" t="s">
        <v>546</v>
      </c>
      <c r="AM13" s="442"/>
      <c r="AN13" s="443"/>
      <c r="AQ13" s="384"/>
      <c r="AR13" s="385"/>
      <c r="AS13" s="322"/>
      <c r="AT13" s="386"/>
      <c r="AU13" s="385"/>
      <c r="AV13" s="387"/>
      <c r="AW13" s="388"/>
      <c r="AX13" s="385"/>
      <c r="AY13" s="322"/>
      <c r="AZ13" s="386"/>
      <c r="BA13" s="385"/>
      <c r="BB13" s="387"/>
      <c r="BC13" s="388"/>
      <c r="BD13" s="385"/>
      <c r="BE13" s="322"/>
      <c r="BF13" s="386"/>
      <c r="BG13" s="385"/>
      <c r="BH13" s="387"/>
      <c r="BI13" s="388"/>
      <c r="BJ13" s="385"/>
      <c r="BK13" s="322"/>
      <c r="BL13" s="386"/>
      <c r="BM13" s="385"/>
      <c r="BN13" s="389"/>
      <c r="BO13" s="323"/>
      <c r="BP13" s="323"/>
      <c r="BQ13" s="384"/>
      <c r="BR13" s="385"/>
      <c r="BS13" s="322"/>
      <c r="BT13" s="390"/>
      <c r="BU13" s="390"/>
      <c r="BV13" s="324"/>
      <c r="BW13" s="385"/>
      <c r="BX13" s="259"/>
      <c r="BY13" s="384"/>
      <c r="BZ13" s="385"/>
      <c r="CA13" s="322"/>
      <c r="CB13" s="390"/>
      <c r="CC13" s="390"/>
      <c r="CD13" s="324"/>
      <c r="CE13" s="385"/>
      <c r="CF13" s="259"/>
      <c r="CG13" s="384"/>
      <c r="CH13" s="385"/>
      <c r="CI13" s="322"/>
      <c r="CJ13" s="390"/>
      <c r="CK13" s="390"/>
      <c r="CL13" s="324"/>
      <c r="CM13" s="385"/>
      <c r="CN13" s="259"/>
      <c r="CO13" s="384"/>
      <c r="CP13" s="385"/>
      <c r="CQ13" s="322"/>
      <c r="CR13" s="390"/>
      <c r="CS13" s="390"/>
      <c r="CT13" s="324"/>
      <c r="CU13" s="385"/>
      <c r="CV13" s="259"/>
      <c r="CY13" s="444">
        <v>1</v>
      </c>
      <c r="CZ13" s="445">
        <v>0</v>
      </c>
      <c r="DA13" s="446" t="s">
        <v>547</v>
      </c>
      <c r="DB13" s="447">
        <v>95</v>
      </c>
      <c r="DC13" s="445">
        <v>5</v>
      </c>
      <c r="DD13" s="448">
        <v>30</v>
      </c>
      <c r="DE13" s="449">
        <v>5</v>
      </c>
      <c r="DF13" s="450">
        <v>5</v>
      </c>
      <c r="DG13" s="451">
        <f>DB13</f>
        <v>95</v>
      </c>
      <c r="DH13" s="448">
        <v>5</v>
      </c>
      <c r="DI13" s="447">
        <v>5</v>
      </c>
      <c r="DJ13" s="449">
        <v>0</v>
      </c>
      <c r="DK13" s="449">
        <v>0</v>
      </c>
      <c r="DL13" s="449">
        <v>0</v>
      </c>
      <c r="DM13" s="449">
        <v>0</v>
      </c>
      <c r="DN13" s="449">
        <v>100</v>
      </c>
      <c r="DO13" s="450">
        <v>75</v>
      </c>
      <c r="DP13" s="447">
        <v>100</v>
      </c>
      <c r="DQ13" s="452">
        <v>70</v>
      </c>
    </row>
    <row r="14" spans="1:121" ht="21" customHeight="1" thickTop="1" thickBot="1">
      <c r="A14" s="302"/>
      <c r="B14" s="328"/>
      <c r="C14" s="330"/>
      <c r="D14" s="453"/>
      <c r="E14" s="454"/>
      <c r="F14" s="455" t="s">
        <v>548</v>
      </c>
      <c r="G14" s="456"/>
      <c r="H14" s="456"/>
      <c r="I14" s="456"/>
      <c r="J14" s="457"/>
      <c r="K14" s="457"/>
      <c r="L14" s="457"/>
      <c r="M14" s="458"/>
      <c r="N14" s="428"/>
      <c r="O14" s="459"/>
      <c r="P14" s="460"/>
      <c r="Q14" s="461"/>
      <c r="S14" s="379" t="s">
        <v>549</v>
      </c>
      <c r="T14" s="413" t="s">
        <v>550</v>
      </c>
      <c r="U14" s="201"/>
      <c r="V14" s="201"/>
      <c r="W14" s="253"/>
      <c r="X14" s="2150">
        <v>2</v>
      </c>
      <c r="Y14" s="2150"/>
      <c r="Z14" s="2150">
        <v>0</v>
      </c>
      <c r="AA14" s="2150"/>
      <c r="AB14" s="2150">
        <v>0</v>
      </c>
      <c r="AC14" s="2150"/>
      <c r="AD14" s="2150">
        <v>10</v>
      </c>
      <c r="AE14" s="2151"/>
      <c r="AK14" s="462" t="s">
        <v>551</v>
      </c>
      <c r="AL14" s="320"/>
      <c r="AM14" s="320"/>
      <c r="AN14" s="321"/>
      <c r="AQ14" s="345"/>
      <c r="AR14" s="291"/>
      <c r="AS14" s="347"/>
      <c r="AT14" s="348"/>
      <c r="AU14" s="291"/>
      <c r="AV14" s="292"/>
      <c r="AW14" s="201"/>
      <c r="AX14" s="291"/>
      <c r="AY14" s="290"/>
      <c r="AZ14" s="463"/>
      <c r="BA14" s="291"/>
      <c r="BB14" s="292"/>
      <c r="BC14" s="201"/>
      <c r="BD14" s="291"/>
      <c r="BE14" s="290"/>
      <c r="BF14" s="463"/>
      <c r="BG14" s="291"/>
      <c r="BH14" s="292"/>
      <c r="BI14" s="201"/>
      <c r="BJ14" s="291"/>
      <c r="BK14" s="290"/>
      <c r="BL14" s="463"/>
      <c r="BM14" s="291"/>
      <c r="BN14" s="259"/>
      <c r="BQ14" s="242"/>
      <c r="BR14" s="291"/>
      <c r="BS14" s="290"/>
      <c r="BT14" s="464"/>
      <c r="BU14" s="464"/>
      <c r="BV14" s="277"/>
      <c r="BW14" s="291"/>
      <c r="BX14" s="354"/>
      <c r="BY14" s="242"/>
      <c r="BZ14" s="291"/>
      <c r="CA14" s="290"/>
      <c r="CB14" s="464"/>
      <c r="CC14" s="464"/>
      <c r="CD14" s="277"/>
      <c r="CE14" s="291"/>
      <c r="CF14" s="354"/>
      <c r="CG14" s="242"/>
      <c r="CH14" s="291"/>
      <c r="CI14" s="290"/>
      <c r="CJ14" s="464"/>
      <c r="CK14" s="464"/>
      <c r="CL14" s="277"/>
      <c r="CM14" s="291"/>
      <c r="CN14" s="354"/>
      <c r="CO14" s="242"/>
      <c r="CP14" s="291"/>
      <c r="CQ14" s="290"/>
      <c r="CR14" s="464"/>
      <c r="CS14" s="464"/>
      <c r="CT14" s="277"/>
      <c r="CU14" s="291"/>
      <c r="CV14" s="354"/>
      <c r="CY14" s="465">
        <v>2</v>
      </c>
      <c r="CZ14" s="466">
        <v>1</v>
      </c>
      <c r="DA14" s="467" t="s">
        <v>552</v>
      </c>
      <c r="DB14" s="468">
        <v>95</v>
      </c>
      <c r="DC14" s="469">
        <v>5</v>
      </c>
      <c r="DD14" s="470">
        <v>30</v>
      </c>
      <c r="DE14" s="471">
        <v>5</v>
      </c>
      <c r="DF14" s="472">
        <v>5</v>
      </c>
      <c r="DG14" s="473">
        <f t="shared" ref="DG14:DG36" si="0">DB14</f>
        <v>95</v>
      </c>
      <c r="DH14" s="470">
        <v>5</v>
      </c>
      <c r="DI14" s="468">
        <v>5</v>
      </c>
      <c r="DJ14" s="471">
        <v>0</v>
      </c>
      <c r="DK14" s="471">
        <v>0</v>
      </c>
      <c r="DL14" s="471">
        <v>0</v>
      </c>
      <c r="DM14" s="471">
        <v>0</v>
      </c>
      <c r="DN14" s="471">
        <v>100</v>
      </c>
      <c r="DO14" s="472">
        <v>75</v>
      </c>
      <c r="DP14" s="468">
        <v>100</v>
      </c>
      <c r="DQ14" s="474">
        <v>70</v>
      </c>
    </row>
    <row r="15" spans="1:121" ht="21" customHeight="1" thickTop="1" thickBot="1">
      <c r="A15" s="302"/>
      <c r="B15" s="368"/>
      <c r="C15" s="475" t="s">
        <v>553</v>
      </c>
      <c r="D15" s="476"/>
      <c r="E15" s="477" t="s">
        <v>531</v>
      </c>
      <c r="F15" s="478"/>
      <c r="G15" s="2152" t="s">
        <v>554</v>
      </c>
      <c r="H15" s="2153"/>
      <c r="I15" s="479" t="s">
        <v>506</v>
      </c>
      <c r="J15" s="2152" t="s">
        <v>555</v>
      </c>
      <c r="K15" s="2154"/>
      <c r="L15" s="2153"/>
      <c r="M15" s="480"/>
      <c r="N15" s="481" t="s">
        <v>531</v>
      </c>
      <c r="O15" s="482"/>
      <c r="P15" s="369" t="s">
        <v>556</v>
      </c>
      <c r="Q15" s="378"/>
      <c r="S15" s="379" t="s">
        <v>557</v>
      </c>
      <c r="T15" s="483" t="s">
        <v>558</v>
      </c>
      <c r="U15" s="268"/>
      <c r="V15" s="268"/>
      <c r="W15" s="271"/>
      <c r="X15" s="2155">
        <v>15</v>
      </c>
      <c r="Y15" s="2155"/>
      <c r="Z15" s="2155">
        <v>15</v>
      </c>
      <c r="AA15" s="2155"/>
      <c r="AB15" s="2155">
        <v>15</v>
      </c>
      <c r="AC15" s="2155"/>
      <c r="AD15" s="2155">
        <v>15</v>
      </c>
      <c r="AE15" s="2156"/>
      <c r="AF15" s="484" t="s">
        <v>559</v>
      </c>
      <c r="AG15" s="485"/>
      <c r="AH15" s="485"/>
      <c r="AI15" s="486"/>
      <c r="AK15" s="487" t="s">
        <v>124</v>
      </c>
      <c r="AL15" s="343" t="s">
        <v>560</v>
      </c>
      <c r="AM15" s="343"/>
      <c r="AN15" s="344"/>
      <c r="AQ15" s="201"/>
      <c r="AR15" s="291"/>
      <c r="AS15" s="488"/>
      <c r="AT15" s="291"/>
      <c r="AU15" s="488"/>
      <c r="AV15" s="292"/>
      <c r="AW15" s="201"/>
      <c r="AX15" s="291"/>
      <c r="AY15" s="488"/>
      <c r="AZ15" s="291"/>
      <c r="BA15" s="488"/>
      <c r="BB15" s="292"/>
      <c r="BC15" s="201"/>
      <c r="BD15" s="291"/>
      <c r="BE15" s="488"/>
      <c r="BF15" s="291"/>
      <c r="BG15" s="488"/>
      <c r="BH15" s="292"/>
      <c r="BI15" s="201"/>
      <c r="BJ15" s="291"/>
      <c r="BK15" s="488"/>
      <c r="BL15" s="291"/>
      <c r="BM15" s="488"/>
      <c r="BN15" s="201"/>
      <c r="BO15" s="201"/>
      <c r="BP15" s="201"/>
      <c r="BQ15" s="201"/>
      <c r="BR15" s="291"/>
      <c r="BS15" s="489"/>
      <c r="BT15" s="291"/>
      <c r="BU15" s="489"/>
      <c r="BV15" s="490"/>
      <c r="BW15" s="291"/>
      <c r="BX15" s="201"/>
      <c r="BY15" s="201"/>
      <c r="BZ15" s="291"/>
      <c r="CA15" s="489"/>
      <c r="CB15" s="291"/>
      <c r="CC15" s="489"/>
      <c r="CD15" s="490"/>
      <c r="CE15" s="291"/>
      <c r="CF15" s="201"/>
      <c r="CG15" s="201"/>
      <c r="CH15" s="291"/>
      <c r="CI15" s="489"/>
      <c r="CJ15" s="291"/>
      <c r="CK15" s="489"/>
      <c r="CL15" s="490"/>
      <c r="CM15" s="291"/>
      <c r="CN15" s="201"/>
      <c r="CO15" s="201"/>
      <c r="CP15" s="291"/>
      <c r="CQ15" s="489"/>
      <c r="CR15" s="291"/>
      <c r="CS15" s="489"/>
      <c r="CT15" s="490"/>
      <c r="CU15" s="291"/>
      <c r="CV15" s="201"/>
      <c r="CY15" s="491">
        <v>3</v>
      </c>
      <c r="CZ15" s="492">
        <v>2</v>
      </c>
      <c r="DA15" s="493" t="s">
        <v>561</v>
      </c>
      <c r="DB15" s="494">
        <v>95</v>
      </c>
      <c r="DC15" s="495">
        <v>5</v>
      </c>
      <c r="DD15" s="496">
        <v>30</v>
      </c>
      <c r="DE15" s="497">
        <v>5</v>
      </c>
      <c r="DF15" s="498">
        <v>5</v>
      </c>
      <c r="DG15" s="499">
        <f t="shared" si="0"/>
        <v>95</v>
      </c>
      <c r="DH15" s="496">
        <v>5</v>
      </c>
      <c r="DI15" s="494">
        <v>5</v>
      </c>
      <c r="DJ15" s="497">
        <v>0</v>
      </c>
      <c r="DK15" s="497">
        <v>0</v>
      </c>
      <c r="DL15" s="497">
        <v>0</v>
      </c>
      <c r="DM15" s="497">
        <v>0</v>
      </c>
      <c r="DN15" s="497">
        <v>100</v>
      </c>
      <c r="DO15" s="498">
        <v>75</v>
      </c>
      <c r="DP15" s="494">
        <v>100</v>
      </c>
      <c r="DQ15" s="500">
        <v>70</v>
      </c>
    </row>
    <row r="16" spans="1:121" ht="21" customHeight="1" thickBot="1">
      <c r="A16" s="302"/>
      <c r="B16" s="402"/>
      <c r="C16" s="403"/>
      <c r="D16" s="403"/>
      <c r="E16" s="501" t="s">
        <v>124</v>
      </c>
      <c r="F16" s="2134" t="s">
        <v>562</v>
      </c>
      <c r="G16" s="2137" t="s">
        <v>563</v>
      </c>
      <c r="H16" s="2138"/>
      <c r="I16" s="479" t="s">
        <v>524</v>
      </c>
      <c r="J16" s="2137" t="s">
        <v>564</v>
      </c>
      <c r="K16" s="2139"/>
      <c r="L16" s="2138"/>
      <c r="M16" s="2140" t="s">
        <v>562</v>
      </c>
      <c r="N16" s="502" t="s">
        <v>124</v>
      </c>
      <c r="O16" s="410"/>
      <c r="P16" s="331"/>
      <c r="Q16" s="412"/>
      <c r="S16" s="379" t="s">
        <v>565</v>
      </c>
      <c r="T16" s="413" t="s">
        <v>566</v>
      </c>
      <c r="U16" s="201"/>
      <c r="V16" s="201"/>
      <c r="W16" s="253"/>
      <c r="X16" s="2142">
        <f>SUM(X11:Y14)</f>
        <v>17</v>
      </c>
      <c r="Y16" s="2142"/>
      <c r="Z16" s="2142">
        <f>SUM(Z11:AA14)</f>
        <v>15</v>
      </c>
      <c r="AA16" s="2142"/>
      <c r="AB16" s="2142">
        <f>SUM(AB11:AC14)</f>
        <v>20</v>
      </c>
      <c r="AC16" s="2142"/>
      <c r="AD16" s="2142">
        <f>SUM(AD11:AE14)</f>
        <v>30</v>
      </c>
      <c r="AE16" s="2143"/>
      <c r="AF16" s="203" t="s">
        <v>567</v>
      </c>
      <c r="AK16" s="503" t="s">
        <v>531</v>
      </c>
      <c r="AL16" s="442" t="s">
        <v>568</v>
      </c>
      <c r="AM16" s="442"/>
      <c r="AN16" s="443"/>
      <c r="AQ16" s="504"/>
      <c r="AR16" s="505"/>
      <c r="AS16" s="506"/>
      <c r="AT16" s="505"/>
      <c r="AU16" s="506"/>
      <c r="AV16" s="507"/>
      <c r="AW16" s="504"/>
      <c r="AX16" s="505"/>
      <c r="AY16" s="506"/>
      <c r="AZ16" s="505"/>
      <c r="BA16" s="506"/>
      <c r="BB16" s="507"/>
      <c r="BC16" s="504"/>
      <c r="BD16" s="505"/>
      <c r="BE16" s="506"/>
      <c r="BF16" s="505"/>
      <c r="BG16" s="506"/>
      <c r="BH16" s="507"/>
      <c r="BI16" s="504"/>
      <c r="BJ16" s="505"/>
      <c r="BK16" s="508" t="s">
        <v>569</v>
      </c>
      <c r="BL16" s="505"/>
      <c r="BM16" s="506"/>
      <c r="BN16" s="504"/>
      <c r="BO16" s="504"/>
      <c r="BP16" s="504"/>
      <c r="BQ16" s="504"/>
      <c r="BR16" s="505"/>
      <c r="BS16" s="509"/>
      <c r="BT16" s="505"/>
      <c r="BU16" s="509"/>
      <c r="BV16" s="510"/>
      <c r="BW16" s="505"/>
      <c r="BX16" s="504"/>
      <c r="BY16" s="504"/>
      <c r="BZ16" s="505"/>
      <c r="CA16" s="509"/>
      <c r="CB16" s="505"/>
      <c r="CC16" s="509"/>
      <c r="CD16" s="510"/>
      <c r="CE16" s="505"/>
      <c r="CF16" s="504"/>
      <c r="CG16" s="504"/>
      <c r="CH16" s="505"/>
      <c r="CI16" s="509"/>
      <c r="CJ16" s="505"/>
      <c r="CK16" s="509"/>
      <c r="CL16" s="510"/>
      <c r="CM16" s="505"/>
      <c r="CN16" s="504"/>
      <c r="CO16" s="504"/>
      <c r="CP16" s="505"/>
      <c r="CQ16" s="509"/>
      <c r="CR16" s="505"/>
      <c r="CS16" s="509"/>
      <c r="CT16" s="510"/>
      <c r="CU16" s="505"/>
      <c r="CV16" s="504"/>
      <c r="CY16" s="511">
        <v>4</v>
      </c>
      <c r="CZ16" s="512">
        <v>3</v>
      </c>
      <c r="DA16" s="513" t="s">
        <v>570</v>
      </c>
      <c r="DB16" s="514">
        <v>95</v>
      </c>
      <c r="DC16" s="515">
        <v>5</v>
      </c>
      <c r="DD16" s="516">
        <v>30</v>
      </c>
      <c r="DE16" s="517">
        <v>5</v>
      </c>
      <c r="DF16" s="518">
        <v>5</v>
      </c>
      <c r="DG16" s="519">
        <f t="shared" si="0"/>
        <v>95</v>
      </c>
      <c r="DH16" s="516">
        <v>5</v>
      </c>
      <c r="DI16" s="514">
        <v>5</v>
      </c>
      <c r="DJ16" s="514">
        <v>0</v>
      </c>
      <c r="DK16" s="514">
        <v>0</v>
      </c>
      <c r="DL16" s="514">
        <v>0</v>
      </c>
      <c r="DM16" s="514">
        <v>0</v>
      </c>
      <c r="DN16" s="517">
        <v>100</v>
      </c>
      <c r="DO16" s="518">
        <v>75</v>
      </c>
      <c r="DP16" s="514">
        <v>100</v>
      </c>
      <c r="DQ16" s="520">
        <v>70</v>
      </c>
    </row>
    <row r="17" spans="1:121" ht="21" customHeight="1" thickBot="1">
      <c r="A17" s="302"/>
      <c r="B17" s="424"/>
      <c r="C17" s="425"/>
      <c r="D17" s="425"/>
      <c r="E17" s="426"/>
      <c r="F17" s="2135"/>
      <c r="G17" s="2131" t="s">
        <v>554</v>
      </c>
      <c r="H17" s="2132"/>
      <c r="I17" s="479" t="s">
        <v>537</v>
      </c>
      <c r="J17" s="2131" t="s">
        <v>571</v>
      </c>
      <c r="K17" s="2133"/>
      <c r="L17" s="2132"/>
      <c r="M17" s="2141"/>
      <c r="N17" s="521"/>
      <c r="O17" s="522"/>
      <c r="P17" s="522"/>
      <c r="Q17" s="436"/>
      <c r="S17" s="379" t="s">
        <v>572</v>
      </c>
      <c r="T17" s="523" t="s">
        <v>573</v>
      </c>
      <c r="U17" s="248"/>
      <c r="V17" s="248"/>
      <c r="W17" s="323"/>
      <c r="X17" s="2122">
        <f xml:space="preserve"> X11 + X12 + 2*X13 + 2*X14</f>
        <v>23</v>
      </c>
      <c r="Y17" s="2122"/>
      <c r="Z17" s="2122">
        <f xml:space="preserve"> Z11 + Z12 + 2*Z13 + 2*Z14</f>
        <v>15</v>
      </c>
      <c r="AA17" s="2122"/>
      <c r="AB17" s="2122">
        <f xml:space="preserve"> AB11 + AB12 + 2*AB13 + 2*AB14</f>
        <v>28</v>
      </c>
      <c r="AC17" s="2122"/>
      <c r="AD17" s="2122">
        <f xml:space="preserve"> AD11 + AD12 + 2*AD13 + 2*AD14</f>
        <v>55</v>
      </c>
      <c r="AE17" s="2123"/>
      <c r="AF17" s="203" t="s">
        <v>574</v>
      </c>
      <c r="AQ17" s="201"/>
      <c r="AR17" s="291"/>
      <c r="AS17" s="488"/>
      <c r="AT17" s="291"/>
      <c r="AU17" s="488"/>
      <c r="AV17" s="292"/>
      <c r="AW17" s="201"/>
      <c r="AX17" s="291"/>
      <c r="AY17" s="488"/>
      <c r="AZ17" s="291"/>
      <c r="BA17" s="488"/>
      <c r="BB17" s="292"/>
      <c r="BC17" s="201"/>
      <c r="BD17" s="291"/>
      <c r="BE17" s="488"/>
      <c r="BF17" s="291"/>
      <c r="BG17" s="488"/>
      <c r="BH17" s="292"/>
      <c r="BI17" s="201"/>
      <c r="BJ17" s="291"/>
      <c r="BK17" s="488"/>
      <c r="BL17" s="291"/>
      <c r="BM17" s="488"/>
      <c r="BN17" s="201"/>
      <c r="BO17" s="201"/>
      <c r="BP17" s="201"/>
      <c r="BQ17" s="201"/>
      <c r="BR17" s="291"/>
      <c r="BS17" s="489"/>
      <c r="BT17" s="291"/>
      <c r="BU17" s="489"/>
      <c r="BV17" s="490"/>
      <c r="BW17" s="291"/>
      <c r="BX17" s="201"/>
      <c r="BY17" s="201"/>
      <c r="BZ17" s="291"/>
      <c r="CA17" s="489"/>
      <c r="CB17" s="291"/>
      <c r="CC17" s="489"/>
      <c r="CD17" s="490"/>
      <c r="CE17" s="291"/>
      <c r="CF17" s="201"/>
      <c r="CG17" s="201"/>
      <c r="CH17" s="291"/>
      <c r="CI17" s="489"/>
      <c r="CJ17" s="291"/>
      <c r="CK17" s="489"/>
      <c r="CL17" s="490"/>
      <c r="CM17" s="291"/>
      <c r="CN17" s="201"/>
      <c r="CO17" s="201"/>
      <c r="CP17" s="291"/>
      <c r="CQ17" s="489"/>
      <c r="CR17" s="291"/>
      <c r="CS17" s="489"/>
      <c r="CT17" s="490"/>
      <c r="CU17" s="291"/>
      <c r="CV17" s="201"/>
      <c r="CY17" s="465">
        <v>5</v>
      </c>
      <c r="CZ17" s="466">
        <v>4</v>
      </c>
      <c r="DA17" s="467" t="s">
        <v>575</v>
      </c>
      <c r="DB17" s="468">
        <v>95</v>
      </c>
      <c r="DC17" s="469">
        <v>5</v>
      </c>
      <c r="DD17" s="470">
        <v>30</v>
      </c>
      <c r="DE17" s="471">
        <v>5</v>
      </c>
      <c r="DF17" s="472">
        <v>5</v>
      </c>
      <c r="DG17" s="473">
        <f t="shared" si="0"/>
        <v>95</v>
      </c>
      <c r="DH17" s="470">
        <v>5</v>
      </c>
      <c r="DI17" s="468">
        <v>5</v>
      </c>
      <c r="DJ17" s="468">
        <v>0</v>
      </c>
      <c r="DK17" s="468">
        <v>0</v>
      </c>
      <c r="DL17" s="468">
        <v>0</v>
      </c>
      <c r="DM17" s="468">
        <v>0</v>
      </c>
      <c r="DN17" s="471">
        <v>100</v>
      </c>
      <c r="DO17" s="472">
        <v>75</v>
      </c>
      <c r="DP17" s="468">
        <v>100</v>
      </c>
      <c r="DQ17" s="474">
        <v>70</v>
      </c>
    </row>
    <row r="18" spans="1:121" ht="21" customHeight="1" thickTop="1" thickBot="1">
      <c r="A18" s="302"/>
      <c r="B18" s="328"/>
      <c r="C18" s="329"/>
      <c r="D18" s="329"/>
      <c r="E18" s="461"/>
      <c r="F18" s="2135"/>
      <c r="G18" s="524"/>
      <c r="H18" s="525"/>
      <c r="I18" s="526" t="s">
        <v>562</v>
      </c>
      <c r="J18" s="524"/>
      <c r="K18" s="524"/>
      <c r="L18" s="527"/>
      <c r="M18" s="2141"/>
      <c r="N18" s="328"/>
      <c r="O18" s="528"/>
      <c r="P18" s="528"/>
      <c r="Q18" s="461"/>
      <c r="S18" s="379" t="s">
        <v>576</v>
      </c>
      <c r="T18" s="529" t="s">
        <v>577</v>
      </c>
      <c r="U18" s="201"/>
      <c r="V18" s="201"/>
      <c r="W18" s="253"/>
      <c r="X18" s="2142">
        <f xml:space="preserve"> X11*$P$6 + X12*$U$4 + X13*$U$5 + X14*$U$6</f>
        <v>17050</v>
      </c>
      <c r="Y18" s="2142"/>
      <c r="Z18" s="2142">
        <f xml:space="preserve"> Z11*$P$6 + Z12*$U$4 + Z13*$U$5 + Z14*$U$6</f>
        <v>12000</v>
      </c>
      <c r="AA18" s="2142"/>
      <c r="AB18" s="2142">
        <f xml:space="preserve"> AB11*$P$6 + AB12*$U$4 + AB13*$U$5 + AB14*$U$6</f>
        <v>21200</v>
      </c>
      <c r="AC18" s="2142"/>
      <c r="AD18" s="2142">
        <f xml:space="preserve"> AD11*$P$6 + AD12*$U$4 + AD13*$U$5 + AD14*$U$6</f>
        <v>40000</v>
      </c>
      <c r="AE18" s="2143"/>
      <c r="AF18" s="203" t="s">
        <v>578</v>
      </c>
      <c r="AQ18" s="384"/>
      <c r="AR18" s="291"/>
      <c r="AS18" s="290"/>
      <c r="AT18" s="463"/>
      <c r="AU18" s="290"/>
      <c r="AV18" s="292"/>
      <c r="AW18" s="201"/>
      <c r="AX18" s="291"/>
      <c r="AY18" s="290"/>
      <c r="AZ18" s="463"/>
      <c r="BA18" s="291"/>
      <c r="BB18" s="292"/>
      <c r="BC18" s="201"/>
      <c r="BD18" s="291"/>
      <c r="BE18" s="290"/>
      <c r="BF18" s="463"/>
      <c r="BG18" s="291"/>
      <c r="BH18" s="292"/>
      <c r="BI18" s="201"/>
      <c r="BJ18" s="291"/>
      <c r="BK18" s="290"/>
      <c r="BL18" s="463"/>
      <c r="BM18" s="291"/>
      <c r="BN18" s="259"/>
      <c r="BO18" s="248"/>
      <c r="BP18" s="248"/>
      <c r="BQ18" s="384"/>
      <c r="BR18" s="291"/>
      <c r="BS18" s="464"/>
      <c r="BT18" s="291"/>
      <c r="BU18" s="464"/>
      <c r="BV18" s="530"/>
      <c r="BW18" s="291"/>
      <c r="BX18" s="391"/>
      <c r="BY18" s="384"/>
      <c r="BZ18" s="291"/>
      <c r="CA18" s="464"/>
      <c r="CB18" s="291"/>
      <c r="CC18" s="464"/>
      <c r="CD18" s="530"/>
      <c r="CE18" s="291"/>
      <c r="CF18" s="391"/>
      <c r="CG18" s="384"/>
      <c r="CH18" s="291"/>
      <c r="CI18" s="464"/>
      <c r="CJ18" s="291"/>
      <c r="CK18" s="464"/>
      <c r="CL18" s="530"/>
      <c r="CM18" s="291"/>
      <c r="CN18" s="391"/>
      <c r="CO18" s="384"/>
      <c r="CP18" s="291"/>
      <c r="CQ18" s="464"/>
      <c r="CR18" s="291"/>
      <c r="CS18" s="464"/>
      <c r="CT18" s="530"/>
      <c r="CU18" s="291"/>
      <c r="CV18" s="391"/>
      <c r="CY18" s="531">
        <v>6</v>
      </c>
      <c r="CZ18" s="532">
        <v>5</v>
      </c>
      <c r="DA18" s="533" t="s">
        <v>579</v>
      </c>
      <c r="DB18" s="534">
        <v>95</v>
      </c>
      <c r="DC18" s="535">
        <v>5</v>
      </c>
      <c r="DD18" s="536">
        <v>30</v>
      </c>
      <c r="DE18" s="537">
        <v>5</v>
      </c>
      <c r="DF18" s="538">
        <v>5</v>
      </c>
      <c r="DG18" s="539">
        <f t="shared" si="0"/>
        <v>95</v>
      </c>
      <c r="DH18" s="540">
        <v>50</v>
      </c>
      <c r="DI18" s="541">
        <v>80</v>
      </c>
      <c r="DJ18" s="534">
        <v>0</v>
      </c>
      <c r="DK18" s="534">
        <v>0</v>
      </c>
      <c r="DL18" s="534">
        <v>0</v>
      </c>
      <c r="DM18" s="534">
        <v>0</v>
      </c>
      <c r="DN18" s="537">
        <v>100</v>
      </c>
      <c r="DO18" s="538">
        <v>75</v>
      </c>
      <c r="DP18" s="534">
        <v>100</v>
      </c>
      <c r="DQ18" s="542">
        <v>70</v>
      </c>
    </row>
    <row r="19" spans="1:121" ht="21" customHeight="1" thickTop="1" thickBot="1">
      <c r="A19" s="302"/>
      <c r="B19" s="368"/>
      <c r="C19" s="475" t="s">
        <v>580</v>
      </c>
      <c r="D19" s="370"/>
      <c r="E19" s="543" t="s">
        <v>124</v>
      </c>
      <c r="F19" s="2136"/>
      <c r="G19" s="544" t="s">
        <v>581</v>
      </c>
      <c r="H19" s="545"/>
      <c r="I19" s="545"/>
      <c r="J19" s="546"/>
      <c r="K19" s="2144" t="s">
        <v>582</v>
      </c>
      <c r="L19" s="2145"/>
      <c r="M19" s="2136"/>
      <c r="N19" s="547" t="s">
        <v>124</v>
      </c>
      <c r="O19" s="370"/>
      <c r="P19" s="369" t="s">
        <v>583</v>
      </c>
      <c r="Q19" s="378"/>
      <c r="S19" s="379" t="s">
        <v>584</v>
      </c>
      <c r="T19" s="529" t="s">
        <v>585</v>
      </c>
      <c r="U19" s="201"/>
      <c r="V19" s="201"/>
      <c r="W19" s="253"/>
      <c r="X19" s="2124">
        <f xml:space="preserve"> (X18*X15/100) / (1-X15/100)</f>
        <v>3008.8235294117649</v>
      </c>
      <c r="Y19" s="2124"/>
      <c r="Z19" s="2124">
        <f xml:space="preserve"> (Z18*Z15/100) / (1-Z15/100)</f>
        <v>2117.6470588235293</v>
      </c>
      <c r="AA19" s="2124"/>
      <c r="AB19" s="2124">
        <f xml:space="preserve"> (AB18*AB15/100) / (1-AB15/100)</f>
        <v>3741.1764705882356</v>
      </c>
      <c r="AC19" s="2124"/>
      <c r="AD19" s="2124">
        <f xml:space="preserve"> (AD18*AD15/100) / (1-AD15/100)</f>
        <v>7058.8235294117649</v>
      </c>
      <c r="AE19" s="2125"/>
      <c r="AF19" s="203" t="s">
        <v>586</v>
      </c>
      <c r="AQ19" s="345"/>
      <c r="AR19" s="346"/>
      <c r="AS19" s="347"/>
      <c r="AT19" s="348"/>
      <c r="AU19" s="347"/>
      <c r="AV19" s="349"/>
      <c r="AW19" s="350"/>
      <c r="AX19" s="346"/>
      <c r="AY19" s="347"/>
      <c r="AZ19" s="348"/>
      <c r="BA19" s="346"/>
      <c r="BB19" s="349"/>
      <c r="BC19" s="350"/>
      <c r="BD19" s="346"/>
      <c r="BE19" s="347"/>
      <c r="BF19" s="348"/>
      <c r="BG19" s="346"/>
      <c r="BH19" s="349"/>
      <c r="BI19" s="350"/>
      <c r="BJ19" s="346"/>
      <c r="BK19" s="347"/>
      <c r="BL19" s="348"/>
      <c r="BM19" s="346"/>
      <c r="BN19" s="351"/>
      <c r="BQ19" s="548"/>
      <c r="BR19" s="346"/>
      <c r="BS19" s="352"/>
      <c r="BT19" s="346"/>
      <c r="BU19" s="352"/>
      <c r="BV19" s="549"/>
      <c r="BW19" s="346"/>
      <c r="BX19" s="259"/>
      <c r="BY19" s="548"/>
      <c r="BZ19" s="346"/>
      <c r="CA19" s="352"/>
      <c r="CB19" s="346"/>
      <c r="CC19" s="352"/>
      <c r="CD19" s="549"/>
      <c r="CE19" s="346"/>
      <c r="CF19" s="259"/>
      <c r="CG19" s="548"/>
      <c r="CH19" s="346"/>
      <c r="CI19" s="352"/>
      <c r="CJ19" s="346"/>
      <c r="CK19" s="352"/>
      <c r="CL19" s="549"/>
      <c r="CM19" s="346"/>
      <c r="CN19" s="259"/>
      <c r="CO19" s="548"/>
      <c r="CP19" s="346"/>
      <c r="CQ19" s="352"/>
      <c r="CR19" s="346"/>
      <c r="CS19" s="352"/>
      <c r="CT19" s="549"/>
      <c r="CU19" s="346"/>
      <c r="CV19" s="259"/>
      <c r="CY19" s="550">
        <v>7</v>
      </c>
      <c r="CZ19" s="551">
        <v>6</v>
      </c>
      <c r="DA19" s="552" t="s">
        <v>587</v>
      </c>
      <c r="DB19" s="553">
        <v>95</v>
      </c>
      <c r="DC19" s="551">
        <v>25</v>
      </c>
      <c r="DD19" s="554">
        <v>50</v>
      </c>
      <c r="DE19" s="555">
        <v>20</v>
      </c>
      <c r="DF19" s="556">
        <v>30</v>
      </c>
      <c r="DG19" s="473">
        <f t="shared" si="0"/>
        <v>95</v>
      </c>
      <c r="DH19" s="557">
        <v>50</v>
      </c>
      <c r="DI19" s="553">
        <v>80</v>
      </c>
      <c r="DJ19" s="558">
        <v>0</v>
      </c>
      <c r="DK19" s="558">
        <v>0</v>
      </c>
      <c r="DL19" s="558">
        <v>0</v>
      </c>
      <c r="DM19" s="558">
        <v>0</v>
      </c>
      <c r="DN19" s="558">
        <v>100</v>
      </c>
      <c r="DO19" s="559">
        <v>75</v>
      </c>
      <c r="DP19" s="553">
        <v>100</v>
      </c>
      <c r="DQ19" s="560">
        <v>70</v>
      </c>
    </row>
    <row r="20" spans="1:121" ht="21" customHeight="1" thickTop="1" thickBot="1">
      <c r="A20" s="302"/>
      <c r="B20" s="402"/>
      <c r="C20" s="403"/>
      <c r="D20" s="370"/>
      <c r="E20" s="433" t="s">
        <v>531</v>
      </c>
      <c r="F20" s="561"/>
      <c r="G20" s="2148" t="s">
        <v>588</v>
      </c>
      <c r="H20" s="2149"/>
      <c r="I20" s="479" t="s">
        <v>545</v>
      </c>
      <c r="J20" s="562" t="s">
        <v>533</v>
      </c>
      <c r="K20" s="2146"/>
      <c r="L20" s="2147"/>
      <c r="M20" s="563"/>
      <c r="N20" s="564" t="s">
        <v>531</v>
      </c>
      <c r="O20" s="410"/>
      <c r="P20" s="331"/>
      <c r="Q20" s="412"/>
      <c r="S20" s="379" t="s">
        <v>589</v>
      </c>
      <c r="T20" s="529" t="s">
        <v>590</v>
      </c>
      <c r="U20" s="201"/>
      <c r="V20" s="201"/>
      <c r="W20" s="253"/>
      <c r="X20" s="2126">
        <f>X18+X19</f>
        <v>20058.823529411766</v>
      </c>
      <c r="Y20" s="2127"/>
      <c r="Z20" s="2126">
        <f>Z18+Z19</f>
        <v>14117.64705882353</v>
      </c>
      <c r="AA20" s="2127"/>
      <c r="AB20" s="2126">
        <f>AB18+AB19</f>
        <v>24941.176470588234</v>
      </c>
      <c r="AC20" s="2127"/>
      <c r="AD20" s="2126">
        <f>AD18+AD19</f>
        <v>47058.823529411762</v>
      </c>
      <c r="AE20" s="2128"/>
      <c r="AF20" s="203" t="s">
        <v>591</v>
      </c>
      <c r="AK20" s="565"/>
      <c r="AL20" s="566" t="s">
        <v>592</v>
      </c>
      <c r="AM20" s="567"/>
      <c r="AN20" s="568"/>
      <c r="AQ20" s="384"/>
      <c r="AR20" s="385"/>
      <c r="AS20" s="322"/>
      <c r="AT20" s="386"/>
      <c r="AU20" s="322"/>
      <c r="AV20" s="387"/>
      <c r="AW20" s="388"/>
      <c r="AX20" s="385"/>
      <c r="AY20" s="322"/>
      <c r="AZ20" s="386"/>
      <c r="BA20" s="385"/>
      <c r="BB20" s="387"/>
      <c r="BC20" s="388"/>
      <c r="BD20" s="385"/>
      <c r="BE20" s="322"/>
      <c r="BF20" s="386"/>
      <c r="BG20" s="385"/>
      <c r="BH20" s="387"/>
      <c r="BI20" s="388"/>
      <c r="BJ20" s="385"/>
      <c r="BK20" s="322"/>
      <c r="BL20" s="386"/>
      <c r="BM20" s="385"/>
      <c r="BN20" s="389"/>
      <c r="BO20" s="323" t="s">
        <v>593</v>
      </c>
      <c r="BP20" s="323"/>
      <c r="BQ20" s="569"/>
      <c r="BR20" s="385"/>
      <c r="BS20" s="390"/>
      <c r="BT20" s="385"/>
      <c r="BU20" s="390"/>
      <c r="BV20" s="570"/>
      <c r="BW20" s="385"/>
      <c r="BX20" s="259"/>
      <c r="BY20" s="569"/>
      <c r="BZ20" s="385"/>
      <c r="CA20" s="390"/>
      <c r="CB20" s="385"/>
      <c r="CC20" s="390"/>
      <c r="CD20" s="570"/>
      <c r="CE20" s="385"/>
      <c r="CF20" s="259"/>
      <c r="CG20" s="569"/>
      <c r="CH20" s="385"/>
      <c r="CI20" s="390"/>
      <c r="CJ20" s="385"/>
      <c r="CK20" s="390"/>
      <c r="CL20" s="570"/>
      <c r="CM20" s="385"/>
      <c r="CN20" s="259"/>
      <c r="CO20" s="569"/>
      <c r="CP20" s="385"/>
      <c r="CQ20" s="390"/>
      <c r="CR20" s="385"/>
      <c r="CS20" s="390"/>
      <c r="CT20" s="570"/>
      <c r="CU20" s="385"/>
      <c r="CV20" s="259"/>
      <c r="CY20" s="465">
        <v>8</v>
      </c>
      <c r="CZ20" s="466">
        <v>7</v>
      </c>
      <c r="DA20" s="467" t="s">
        <v>594</v>
      </c>
      <c r="DB20" s="571">
        <v>80</v>
      </c>
      <c r="DC20" s="466">
        <v>45</v>
      </c>
      <c r="DD20" s="572">
        <v>90</v>
      </c>
      <c r="DE20" s="573">
        <v>40</v>
      </c>
      <c r="DF20" s="574">
        <v>50</v>
      </c>
      <c r="DG20" s="575">
        <f t="shared" si="0"/>
        <v>80</v>
      </c>
      <c r="DH20" s="470">
        <v>50</v>
      </c>
      <c r="DI20" s="468">
        <v>80</v>
      </c>
      <c r="DJ20" s="471">
        <v>0</v>
      </c>
      <c r="DK20" s="471">
        <v>0</v>
      </c>
      <c r="DL20" s="471">
        <v>0</v>
      </c>
      <c r="DM20" s="471">
        <v>0</v>
      </c>
      <c r="DN20" s="471">
        <v>100</v>
      </c>
      <c r="DO20" s="472">
        <v>75</v>
      </c>
      <c r="DP20" s="468">
        <v>100</v>
      </c>
      <c r="DQ20" s="474">
        <v>70</v>
      </c>
    </row>
    <row r="21" spans="1:121" ht="21" customHeight="1" thickTop="1" thickBot="1">
      <c r="A21" s="302"/>
      <c r="B21" s="424"/>
      <c r="C21" s="576"/>
      <c r="D21" s="577"/>
      <c r="E21" s="427"/>
      <c r="F21" s="455" t="s">
        <v>548</v>
      </c>
      <c r="G21" s="578"/>
      <c r="H21" s="457"/>
      <c r="I21" s="457"/>
      <c r="J21" s="457"/>
      <c r="K21" s="457"/>
      <c r="L21" s="457"/>
      <c r="M21" s="458"/>
      <c r="N21" s="428"/>
      <c r="O21" s="579"/>
      <c r="P21" s="580"/>
      <c r="Q21" s="436"/>
      <c r="S21" s="379" t="s">
        <v>595</v>
      </c>
      <c r="T21" s="581" t="s">
        <v>596</v>
      </c>
      <c r="U21" s="582"/>
      <c r="V21" s="582"/>
      <c r="W21" s="583"/>
      <c r="X21" s="2129">
        <f>X20*$AA$4*$AG$4</f>
        <v>1002.9411764705883</v>
      </c>
      <c r="Y21" s="2129"/>
      <c r="Z21" s="2129">
        <f>Z20*$AA$4*$AG$4</f>
        <v>705.88235294117658</v>
      </c>
      <c r="AA21" s="2129"/>
      <c r="AB21" s="2129">
        <f>AB20*$AA$4*$AG$4</f>
        <v>1247.0588235294117</v>
      </c>
      <c r="AC21" s="2129"/>
      <c r="AD21" s="2129">
        <f>AD20*$AA$4*$AG$4</f>
        <v>2352.9411764705883</v>
      </c>
      <c r="AE21" s="2130"/>
      <c r="AF21" s="203" t="s">
        <v>597</v>
      </c>
      <c r="AQ21" s="345"/>
      <c r="AR21" s="346"/>
      <c r="AS21" s="347"/>
      <c r="AT21" s="348"/>
      <c r="AU21" s="347"/>
      <c r="AV21" s="584"/>
      <c r="AW21" s="585"/>
      <c r="AX21" s="346"/>
      <c r="AY21" s="347"/>
      <c r="AZ21" s="348"/>
      <c r="BA21" s="346"/>
      <c r="BB21" s="584"/>
      <c r="BC21" s="585"/>
      <c r="BD21" s="346"/>
      <c r="BE21" s="347"/>
      <c r="BF21" s="348"/>
      <c r="BG21" s="346"/>
      <c r="BH21" s="584"/>
      <c r="BI21" s="585"/>
      <c r="BJ21" s="346"/>
      <c r="BK21" s="347"/>
      <c r="BL21" s="348"/>
      <c r="BM21" s="346"/>
      <c r="BN21" s="354"/>
      <c r="BQ21" s="345"/>
      <c r="BR21" s="346"/>
      <c r="BS21" s="352"/>
      <c r="BT21" s="346"/>
      <c r="BU21" s="352"/>
      <c r="BV21" s="549"/>
      <c r="BW21" s="346"/>
      <c r="BX21" s="354"/>
      <c r="BY21" s="345"/>
      <c r="BZ21" s="346"/>
      <c r="CA21" s="352"/>
      <c r="CB21" s="346"/>
      <c r="CC21" s="352"/>
      <c r="CD21" s="549"/>
      <c r="CE21" s="346"/>
      <c r="CF21" s="354"/>
      <c r="CG21" s="345"/>
      <c r="CH21" s="346"/>
      <c r="CI21" s="352"/>
      <c r="CJ21" s="346"/>
      <c r="CK21" s="352"/>
      <c r="CL21" s="549"/>
      <c r="CM21" s="346"/>
      <c r="CN21" s="354"/>
      <c r="CO21" s="345"/>
      <c r="CP21" s="346"/>
      <c r="CQ21" s="352"/>
      <c r="CR21" s="346"/>
      <c r="CS21" s="352"/>
      <c r="CT21" s="549"/>
      <c r="CU21" s="346"/>
      <c r="CV21" s="354"/>
      <c r="CY21" s="491">
        <v>9</v>
      </c>
      <c r="CZ21" s="492">
        <v>8</v>
      </c>
      <c r="DA21" s="493" t="s">
        <v>598</v>
      </c>
      <c r="DB21" s="494">
        <v>80</v>
      </c>
      <c r="DC21" s="495">
        <v>45</v>
      </c>
      <c r="DD21" s="586">
        <v>30</v>
      </c>
      <c r="DE21" s="587">
        <v>50</v>
      </c>
      <c r="DF21" s="588">
        <v>40</v>
      </c>
      <c r="DG21" s="499">
        <f t="shared" si="0"/>
        <v>80</v>
      </c>
      <c r="DH21" s="586">
        <v>5</v>
      </c>
      <c r="DI21" s="589">
        <v>5</v>
      </c>
      <c r="DJ21" s="497">
        <v>0</v>
      </c>
      <c r="DK21" s="497">
        <v>0</v>
      </c>
      <c r="DL21" s="497">
        <v>0</v>
      </c>
      <c r="DM21" s="497">
        <v>0</v>
      </c>
      <c r="DN21" s="497">
        <v>100</v>
      </c>
      <c r="DO21" s="498">
        <v>75</v>
      </c>
      <c r="DP21" s="494">
        <v>100</v>
      </c>
      <c r="DQ21" s="500">
        <v>70</v>
      </c>
    </row>
    <row r="22" spans="1:121" ht="21" customHeight="1" thickTop="1" thickBot="1">
      <c r="A22" s="302"/>
      <c r="B22" s="328"/>
      <c r="C22" s="590"/>
      <c r="D22" s="591"/>
      <c r="E22" s="592"/>
      <c r="F22" s="593"/>
      <c r="G22" s="594" t="s">
        <v>531</v>
      </c>
      <c r="H22" s="595" t="s">
        <v>124</v>
      </c>
      <c r="I22" s="596"/>
      <c r="J22" s="597"/>
      <c r="K22" s="595" t="s">
        <v>124</v>
      </c>
      <c r="L22" s="598" t="s">
        <v>531</v>
      </c>
      <c r="M22" s="599"/>
      <c r="N22" s="600"/>
      <c r="O22" s="601"/>
      <c r="P22" s="602"/>
      <c r="Q22" s="461"/>
      <c r="S22" s="379" t="s">
        <v>599</v>
      </c>
      <c r="T22" s="413" t="s">
        <v>600</v>
      </c>
      <c r="U22" s="253"/>
      <c r="V22" s="258"/>
      <c r="W22" s="253"/>
      <c r="X22" s="2124">
        <f xml:space="preserve"> $AA$5 * $P$4 * X16 * $AG$5</f>
        <v>1360</v>
      </c>
      <c r="Y22" s="2124"/>
      <c r="Z22" s="2124">
        <f xml:space="preserve"> $AA$5 * $P$4 * Z16 * $AG$5</f>
        <v>1200</v>
      </c>
      <c r="AA22" s="2124"/>
      <c r="AB22" s="2124">
        <f xml:space="preserve"> $AA$5 * $P$4 * AB16 * $AG$5</f>
        <v>1600</v>
      </c>
      <c r="AC22" s="2124"/>
      <c r="AD22" s="2124">
        <f xml:space="preserve"> $AA$5 * $P$4 * AD16 * $AG$5</f>
        <v>2400</v>
      </c>
      <c r="AE22" s="2125"/>
      <c r="AF22" s="203" t="s">
        <v>601</v>
      </c>
      <c r="AQ22" s="384"/>
      <c r="AR22" s="385"/>
      <c r="AS22" s="322"/>
      <c r="AT22" s="386"/>
      <c r="AU22" s="322"/>
      <c r="AV22" s="603"/>
      <c r="AW22" s="604"/>
      <c r="AX22" s="385"/>
      <c r="AY22" s="322"/>
      <c r="AZ22" s="386"/>
      <c r="BA22" s="385"/>
      <c r="BB22" s="603"/>
      <c r="BC22" s="604"/>
      <c r="BD22" s="385"/>
      <c r="BE22" s="322"/>
      <c r="BF22" s="386"/>
      <c r="BG22" s="385"/>
      <c r="BH22" s="603"/>
      <c r="BI22" s="604"/>
      <c r="BJ22" s="385"/>
      <c r="BK22" s="322"/>
      <c r="BL22" s="386"/>
      <c r="BM22" s="385"/>
      <c r="BN22" s="391"/>
      <c r="BO22" s="323" t="s">
        <v>602</v>
      </c>
      <c r="BP22" s="323"/>
      <c r="BQ22" s="384"/>
      <c r="BR22" s="385"/>
      <c r="BS22" s="390"/>
      <c r="BT22" s="385"/>
      <c r="BU22" s="390"/>
      <c r="BV22" s="570"/>
      <c r="BW22" s="385"/>
      <c r="BX22" s="391"/>
      <c r="BY22" s="384"/>
      <c r="BZ22" s="385"/>
      <c r="CA22" s="390"/>
      <c r="CB22" s="385"/>
      <c r="CC22" s="390"/>
      <c r="CD22" s="570"/>
      <c r="CE22" s="385"/>
      <c r="CF22" s="391"/>
      <c r="CG22" s="384"/>
      <c r="CH22" s="385"/>
      <c r="CI22" s="390"/>
      <c r="CJ22" s="385"/>
      <c r="CK22" s="390"/>
      <c r="CL22" s="570"/>
      <c r="CM22" s="385"/>
      <c r="CN22" s="391"/>
      <c r="CO22" s="384"/>
      <c r="CP22" s="385"/>
      <c r="CQ22" s="390"/>
      <c r="CR22" s="385"/>
      <c r="CS22" s="390"/>
      <c r="CT22" s="570"/>
      <c r="CU22" s="385"/>
      <c r="CV22" s="391"/>
      <c r="CY22" s="511">
        <v>10</v>
      </c>
      <c r="CZ22" s="512">
        <v>9</v>
      </c>
      <c r="DA22" s="513" t="s">
        <v>603</v>
      </c>
      <c r="DB22" s="605">
        <v>65</v>
      </c>
      <c r="DC22" s="512">
        <v>35</v>
      </c>
      <c r="DD22" s="516">
        <v>30</v>
      </c>
      <c r="DE22" s="606">
        <v>40</v>
      </c>
      <c r="DF22" s="607">
        <v>30</v>
      </c>
      <c r="DG22" s="608">
        <f t="shared" si="0"/>
        <v>65</v>
      </c>
      <c r="DH22" s="516">
        <v>5</v>
      </c>
      <c r="DI22" s="514">
        <v>5</v>
      </c>
      <c r="DJ22" s="514">
        <v>0</v>
      </c>
      <c r="DK22" s="514">
        <v>0</v>
      </c>
      <c r="DL22" s="514">
        <v>0</v>
      </c>
      <c r="DM22" s="514">
        <v>0</v>
      </c>
      <c r="DN22" s="606">
        <v>0</v>
      </c>
      <c r="DO22" s="607">
        <v>95</v>
      </c>
      <c r="DP22" s="605">
        <v>50</v>
      </c>
      <c r="DQ22" s="609">
        <v>50</v>
      </c>
    </row>
    <row r="23" spans="1:121" ht="21" customHeight="1" thickTop="1" thickBot="1">
      <c r="A23" s="302"/>
      <c r="B23" s="368"/>
      <c r="C23" s="475"/>
      <c r="D23" s="476"/>
      <c r="E23" s="477" t="s">
        <v>531</v>
      </c>
      <c r="F23" s="610"/>
      <c r="G23" s="370"/>
      <c r="H23" s="369"/>
      <c r="I23" s="611"/>
      <c r="J23" s="612"/>
      <c r="K23" s="369"/>
      <c r="L23" s="613"/>
      <c r="M23" s="614"/>
      <c r="N23" s="481" t="s">
        <v>531</v>
      </c>
      <c r="O23" s="370"/>
      <c r="P23" s="369"/>
      <c r="Q23" s="378"/>
      <c r="S23" s="379" t="s">
        <v>604</v>
      </c>
      <c r="T23" s="413" t="s">
        <v>605</v>
      </c>
      <c r="U23" s="253"/>
      <c r="V23" s="258"/>
      <c r="W23" s="253"/>
      <c r="X23" s="2124">
        <f xml:space="preserve"> $AA$6 * $P$5 * X17 * $AG$6</f>
        <v>1610</v>
      </c>
      <c r="Y23" s="2124"/>
      <c r="Z23" s="2124">
        <f xml:space="preserve"> $AA$6 * $P$5 * Z17 * $AG$6</f>
        <v>1050</v>
      </c>
      <c r="AA23" s="2124"/>
      <c r="AB23" s="2124">
        <f xml:space="preserve"> $AA$6 * $P$5 * AB17 * $AG$6</f>
        <v>1960</v>
      </c>
      <c r="AC23" s="2124"/>
      <c r="AD23" s="2124">
        <f xml:space="preserve"> $AA$6 * $P$5 * AD17 * $AG$6</f>
        <v>3850</v>
      </c>
      <c r="AE23" s="2125"/>
      <c r="AF23" s="203" t="s">
        <v>606</v>
      </c>
      <c r="AQ23" s="345"/>
      <c r="AR23" s="346"/>
      <c r="AS23" s="347"/>
      <c r="AT23" s="348"/>
      <c r="AU23" s="347"/>
      <c r="AV23" s="584"/>
      <c r="AW23" s="585"/>
      <c r="AX23" s="346"/>
      <c r="AY23" s="347"/>
      <c r="AZ23" s="348"/>
      <c r="BA23" s="346"/>
      <c r="BB23" s="584"/>
      <c r="BC23" s="585"/>
      <c r="BD23" s="346"/>
      <c r="BE23" s="347"/>
      <c r="BF23" s="348"/>
      <c r="BG23" s="346"/>
      <c r="BH23" s="584"/>
      <c r="BI23" s="585"/>
      <c r="BJ23" s="346"/>
      <c r="BK23" s="347"/>
      <c r="BL23" s="348"/>
      <c r="BM23" s="346"/>
      <c r="BN23" s="354"/>
      <c r="BQ23" s="345"/>
      <c r="BR23" s="346"/>
      <c r="BS23" s="352"/>
      <c r="BT23" s="346"/>
      <c r="BU23" s="352"/>
      <c r="BV23" s="549"/>
      <c r="BW23" s="346"/>
      <c r="BX23" s="259"/>
      <c r="BY23" s="345"/>
      <c r="BZ23" s="346"/>
      <c r="CA23" s="352"/>
      <c r="CB23" s="346"/>
      <c r="CC23" s="352"/>
      <c r="CD23" s="549"/>
      <c r="CE23" s="346"/>
      <c r="CF23" s="259"/>
      <c r="CG23" s="345"/>
      <c r="CH23" s="346"/>
      <c r="CI23" s="352"/>
      <c r="CJ23" s="346"/>
      <c r="CK23" s="352"/>
      <c r="CL23" s="549"/>
      <c r="CM23" s="346"/>
      <c r="CN23" s="259"/>
      <c r="CO23" s="345"/>
      <c r="CP23" s="346"/>
      <c r="CQ23" s="352"/>
      <c r="CR23" s="346"/>
      <c r="CS23" s="352"/>
      <c r="CT23" s="549"/>
      <c r="CU23" s="346"/>
      <c r="CV23" s="259"/>
      <c r="CY23" s="465">
        <v>11</v>
      </c>
      <c r="CZ23" s="466">
        <v>10</v>
      </c>
      <c r="DA23" s="467" t="s">
        <v>607</v>
      </c>
      <c r="DB23" s="468">
        <v>65</v>
      </c>
      <c r="DC23" s="469">
        <v>35</v>
      </c>
      <c r="DD23" s="470">
        <v>30</v>
      </c>
      <c r="DE23" s="471">
        <v>40</v>
      </c>
      <c r="DF23" s="472">
        <v>30</v>
      </c>
      <c r="DG23" s="473">
        <f t="shared" si="0"/>
        <v>65</v>
      </c>
      <c r="DH23" s="470">
        <v>5</v>
      </c>
      <c r="DI23" s="468">
        <v>5</v>
      </c>
      <c r="DJ23" s="468">
        <v>0</v>
      </c>
      <c r="DK23" s="468">
        <v>0</v>
      </c>
      <c r="DL23" s="468">
        <v>0</v>
      </c>
      <c r="DM23" s="468">
        <v>0</v>
      </c>
      <c r="DN23" s="471">
        <v>0</v>
      </c>
      <c r="DO23" s="472">
        <v>95</v>
      </c>
      <c r="DP23" s="468">
        <v>50</v>
      </c>
      <c r="DQ23" s="474">
        <v>50</v>
      </c>
    </row>
    <row r="24" spans="1:121" ht="21" customHeight="1" thickTop="1" thickBot="1">
      <c r="A24" s="302"/>
      <c r="B24" s="402"/>
      <c r="C24" s="475" t="s">
        <v>608</v>
      </c>
      <c r="D24" s="403"/>
      <c r="E24" s="615" t="s">
        <v>124</v>
      </c>
      <c r="F24" s="616"/>
      <c r="G24" s="403"/>
      <c r="H24" s="369" t="s">
        <v>502</v>
      </c>
      <c r="I24" s="617"/>
      <c r="J24" s="374"/>
      <c r="K24" s="369" t="s">
        <v>501</v>
      </c>
      <c r="L24" s="370"/>
      <c r="M24" s="618"/>
      <c r="N24" s="502" t="s">
        <v>124</v>
      </c>
      <c r="O24" s="403"/>
      <c r="P24" s="369" t="s">
        <v>609</v>
      </c>
      <c r="Q24" s="412"/>
      <c r="S24" s="379" t="s">
        <v>610</v>
      </c>
      <c r="T24" s="413" t="s">
        <v>611</v>
      </c>
      <c r="U24" s="253"/>
      <c r="V24" s="258"/>
      <c r="W24" s="253"/>
      <c r="X24" s="2124">
        <f xml:space="preserve">  SUM(X21:Y23)</f>
        <v>3972.9411764705883</v>
      </c>
      <c r="Y24" s="2124"/>
      <c r="Z24" s="2124">
        <f t="shared" ref="Z24" si="1" xml:space="preserve">  SUM(Z21:AA23)</f>
        <v>2955.8823529411766</v>
      </c>
      <c r="AA24" s="2124"/>
      <c r="AB24" s="2124">
        <f t="shared" ref="AB24" si="2" xml:space="preserve">  SUM(AB21:AC23)</f>
        <v>4807.0588235294117</v>
      </c>
      <c r="AC24" s="2124"/>
      <c r="AD24" s="2124">
        <f t="shared" ref="AD24" si="3" xml:space="preserve">  SUM(AD21:AE23)</f>
        <v>8602.9411764705874</v>
      </c>
      <c r="AE24" s="2125"/>
      <c r="AF24" s="203" t="s">
        <v>612</v>
      </c>
      <c r="AK24" s="619"/>
      <c r="AL24" s="620" t="s">
        <v>613</v>
      </c>
      <c r="AM24" s="320"/>
      <c r="AN24" s="321"/>
      <c r="AQ24" s="384"/>
      <c r="AR24" s="385"/>
      <c r="AS24" s="385"/>
      <c r="AT24" s="385"/>
      <c r="AU24" s="385"/>
      <c r="AV24" s="603"/>
      <c r="AW24" s="604"/>
      <c r="AX24" s="385"/>
      <c r="AY24" s="385"/>
      <c r="AZ24" s="385"/>
      <c r="BA24" s="385"/>
      <c r="BB24" s="603"/>
      <c r="BC24" s="604"/>
      <c r="BD24" s="385"/>
      <c r="BE24" s="385"/>
      <c r="BF24" s="385"/>
      <c r="BG24" s="385"/>
      <c r="BH24" s="603"/>
      <c r="BI24" s="604"/>
      <c r="BJ24" s="385"/>
      <c r="BK24" s="385"/>
      <c r="BL24" s="385"/>
      <c r="BM24" s="385"/>
      <c r="BN24" s="391"/>
      <c r="BO24" s="323" t="s">
        <v>614</v>
      </c>
      <c r="BP24" s="323"/>
      <c r="BQ24" s="384"/>
      <c r="BR24" s="385"/>
      <c r="BS24" s="385"/>
      <c r="BT24" s="385"/>
      <c r="BU24" s="385"/>
      <c r="BV24" s="621"/>
      <c r="BW24" s="385"/>
      <c r="BX24" s="391"/>
      <c r="BY24" s="384"/>
      <c r="BZ24" s="385"/>
      <c r="CA24" s="385"/>
      <c r="CB24" s="385"/>
      <c r="CC24" s="385"/>
      <c r="CD24" s="621"/>
      <c r="CE24" s="385"/>
      <c r="CF24" s="391"/>
      <c r="CG24" s="384"/>
      <c r="CH24" s="385"/>
      <c r="CI24" s="385"/>
      <c r="CJ24" s="385"/>
      <c r="CK24" s="385"/>
      <c r="CL24" s="621"/>
      <c r="CM24" s="385"/>
      <c r="CN24" s="391"/>
      <c r="CO24" s="384"/>
      <c r="CP24" s="385"/>
      <c r="CQ24" s="385"/>
      <c r="CR24" s="385"/>
      <c r="CS24" s="385"/>
      <c r="CT24" s="621"/>
      <c r="CU24" s="385"/>
      <c r="CV24" s="391"/>
      <c r="CY24" s="531">
        <v>12</v>
      </c>
      <c r="CZ24" s="532">
        <v>11</v>
      </c>
      <c r="DA24" s="533" t="s">
        <v>615</v>
      </c>
      <c r="DB24" s="534">
        <v>65</v>
      </c>
      <c r="DC24" s="535">
        <v>35</v>
      </c>
      <c r="DD24" s="536">
        <v>30</v>
      </c>
      <c r="DE24" s="622">
        <v>35</v>
      </c>
      <c r="DF24" s="623">
        <v>35</v>
      </c>
      <c r="DG24" s="539">
        <f t="shared" si="0"/>
        <v>65</v>
      </c>
      <c r="DH24" s="540">
        <v>50</v>
      </c>
      <c r="DI24" s="541">
        <v>80</v>
      </c>
      <c r="DJ24" s="534">
        <v>0</v>
      </c>
      <c r="DK24" s="534">
        <v>0</v>
      </c>
      <c r="DL24" s="534">
        <v>0</v>
      </c>
      <c r="DM24" s="534">
        <v>0</v>
      </c>
      <c r="DN24" s="537">
        <v>0</v>
      </c>
      <c r="DO24" s="538">
        <v>95</v>
      </c>
      <c r="DP24" s="534">
        <v>50</v>
      </c>
      <c r="DQ24" s="542">
        <v>50</v>
      </c>
    </row>
    <row r="25" spans="1:121" ht="21" customHeight="1" thickBot="1">
      <c r="A25" s="302"/>
      <c r="B25" s="624"/>
      <c r="C25" s="625"/>
      <c r="D25" s="626"/>
      <c r="E25" s="627"/>
      <c r="F25" s="628"/>
      <c r="G25" s="625"/>
      <c r="H25" s="626"/>
      <c r="I25" s="627"/>
      <c r="J25" s="628"/>
      <c r="K25" s="625"/>
      <c r="L25" s="626"/>
      <c r="M25" s="627"/>
      <c r="N25" s="628"/>
      <c r="O25" s="625"/>
      <c r="P25" s="626"/>
      <c r="Q25" s="627"/>
      <c r="S25" s="379" t="s">
        <v>616</v>
      </c>
      <c r="T25" s="523" t="s">
        <v>617</v>
      </c>
      <c r="U25" s="323"/>
      <c r="V25" s="323"/>
      <c r="W25" s="323"/>
      <c r="X25" s="2122">
        <f xml:space="preserve"> X24 * $U$7</f>
        <v>5959.4117647058829</v>
      </c>
      <c r="Y25" s="2122"/>
      <c r="Z25" s="2122">
        <f t="shared" ref="Z25" si="4" xml:space="preserve"> Z24 * $U$7</f>
        <v>4433.8235294117649</v>
      </c>
      <c r="AA25" s="2122"/>
      <c r="AB25" s="2122">
        <f t="shared" ref="AB25" si="5" xml:space="preserve"> AB24 * $U$7</f>
        <v>7210.5882352941171</v>
      </c>
      <c r="AC25" s="2122"/>
      <c r="AD25" s="2122">
        <f t="shared" ref="AD25" si="6" xml:space="preserve"> AD24 * $U$7</f>
        <v>12904.411764705881</v>
      </c>
      <c r="AE25" s="2123"/>
      <c r="AF25" s="203" t="s">
        <v>618</v>
      </c>
      <c r="AK25" s="629"/>
      <c r="AL25" s="630" t="s">
        <v>619</v>
      </c>
      <c r="AM25" s="604"/>
      <c r="AN25" s="631"/>
      <c r="AQ25" s="632" t="s">
        <v>620</v>
      </c>
      <c r="AR25" s="214"/>
      <c r="AS25" s="214"/>
      <c r="AT25" s="633"/>
      <c r="AU25" s="633"/>
      <c r="AV25" s="634"/>
      <c r="AW25" s="244" t="s">
        <v>621</v>
      </c>
      <c r="AX25" s="214"/>
      <c r="AY25" s="214"/>
      <c r="AZ25" s="633"/>
      <c r="BA25" s="633"/>
      <c r="BB25" s="635"/>
      <c r="BC25" s="244" t="s">
        <v>622</v>
      </c>
      <c r="BD25" s="214"/>
      <c r="BE25" s="214"/>
      <c r="BF25" s="633"/>
      <c r="BG25" s="633"/>
      <c r="BH25" s="635"/>
      <c r="BI25" s="244" t="s">
        <v>623</v>
      </c>
      <c r="BJ25" s="214"/>
      <c r="BK25" s="214"/>
      <c r="BL25" s="633"/>
      <c r="BM25" s="633"/>
      <c r="BN25" s="259"/>
      <c r="BP25" s="201"/>
      <c r="BQ25" s="242"/>
      <c r="BR25" s="243" t="s">
        <v>424</v>
      </c>
      <c r="BS25" s="205"/>
      <c r="BT25" s="205"/>
      <c r="BU25" s="205"/>
      <c r="BV25" s="205"/>
      <c r="BW25" s="205"/>
      <c r="BX25" s="230"/>
      <c r="BY25" s="242"/>
      <c r="BZ25" s="243" t="s">
        <v>425</v>
      </c>
      <c r="CA25" s="205"/>
      <c r="CB25" s="205"/>
      <c r="CC25" s="205"/>
      <c r="CD25" s="205"/>
      <c r="CE25" s="205"/>
      <c r="CF25" s="230"/>
      <c r="CG25" s="242"/>
      <c r="CH25" s="243" t="s">
        <v>426</v>
      </c>
      <c r="CI25" s="205"/>
      <c r="CJ25" s="205"/>
      <c r="CK25" s="205"/>
      <c r="CL25" s="205"/>
      <c r="CM25" s="205"/>
      <c r="CN25" s="230"/>
      <c r="CO25" s="242"/>
      <c r="CP25" s="243" t="s">
        <v>427</v>
      </c>
      <c r="CQ25" s="205"/>
      <c r="CR25" s="205"/>
      <c r="CS25" s="205"/>
      <c r="CT25" s="205"/>
      <c r="CU25" s="205"/>
      <c r="CV25" s="230"/>
      <c r="CY25" s="550">
        <v>13</v>
      </c>
      <c r="CZ25" s="551">
        <v>12</v>
      </c>
      <c r="DA25" s="552" t="s">
        <v>624</v>
      </c>
      <c r="DB25" s="553">
        <v>65</v>
      </c>
      <c r="DC25" s="551">
        <v>25</v>
      </c>
      <c r="DD25" s="554">
        <v>50</v>
      </c>
      <c r="DE25" s="558">
        <v>35</v>
      </c>
      <c r="DF25" s="556">
        <v>40</v>
      </c>
      <c r="DG25" s="473">
        <f t="shared" si="0"/>
        <v>65</v>
      </c>
      <c r="DH25" s="557">
        <v>50</v>
      </c>
      <c r="DI25" s="553">
        <v>80</v>
      </c>
      <c r="DJ25" s="558">
        <v>0</v>
      </c>
      <c r="DK25" s="558">
        <v>0</v>
      </c>
      <c r="DL25" s="558">
        <v>0</v>
      </c>
      <c r="DM25" s="558">
        <v>0</v>
      </c>
      <c r="DN25" s="558">
        <v>0</v>
      </c>
      <c r="DO25" s="559">
        <v>95</v>
      </c>
      <c r="DP25" s="553">
        <v>50</v>
      </c>
      <c r="DQ25" s="560">
        <v>50</v>
      </c>
    </row>
    <row r="26" spans="1:121" ht="21" customHeight="1" thickTop="1" thickBot="1">
      <c r="B26" s="308" t="s">
        <v>625</v>
      </c>
      <c r="C26" s="280"/>
      <c r="D26" s="636"/>
      <c r="E26" s="280"/>
      <c r="F26" s="636"/>
      <c r="G26" s="636"/>
      <c r="H26" s="636"/>
      <c r="I26" s="636"/>
      <c r="J26" s="280"/>
      <c r="K26" s="262"/>
      <c r="L26" s="301"/>
      <c r="M26" s="280"/>
      <c r="N26" s="280"/>
      <c r="O26" s="280"/>
      <c r="P26" s="280"/>
      <c r="Q26" s="280"/>
      <c r="R26" s="280"/>
      <c r="S26" s="379" t="s">
        <v>626</v>
      </c>
      <c r="T26" s="637" t="s">
        <v>627</v>
      </c>
      <c r="U26" s="271"/>
      <c r="V26" s="271"/>
      <c r="W26" s="271"/>
      <c r="X26" s="2120">
        <f>X25/X19</f>
        <v>1.9806451612903226</v>
      </c>
      <c r="Y26" s="2120"/>
      <c r="Z26" s="2120">
        <f t="shared" ref="Z26" si="7">Z25/Z19</f>
        <v>2.09375</v>
      </c>
      <c r="AA26" s="2120"/>
      <c r="AB26" s="2120">
        <f t="shared" ref="AB26" si="8">AB25/AB19</f>
        <v>1.9273584905660375</v>
      </c>
      <c r="AC26" s="2120"/>
      <c r="AD26" s="2120">
        <f t="shared" ref="AD26" si="9">AD25/AD19</f>
        <v>1.8281249999999998</v>
      </c>
      <c r="AE26" s="2121"/>
      <c r="AF26" s="203" t="s">
        <v>628</v>
      </c>
      <c r="AK26" s="638"/>
      <c r="AL26" s="620" t="s">
        <v>629</v>
      </c>
      <c r="AM26" s="639"/>
      <c r="AN26" s="640"/>
      <c r="AQ26" s="641" t="s">
        <v>630</v>
      </c>
      <c r="AR26" s="201"/>
      <c r="AS26" s="201"/>
      <c r="AT26" s="201"/>
      <c r="AU26" s="201"/>
      <c r="AV26" s="642"/>
      <c r="AW26" s="641" t="s">
        <v>630</v>
      </c>
      <c r="AX26" s="201"/>
      <c r="AY26" s="201"/>
      <c r="AZ26" s="201"/>
      <c r="BA26" s="201"/>
      <c r="BB26" s="642"/>
      <c r="BC26" s="641" t="s">
        <v>630</v>
      </c>
      <c r="BD26" s="201"/>
      <c r="BE26" s="201"/>
      <c r="BF26" s="201"/>
      <c r="BG26" s="201"/>
      <c r="BH26" s="642"/>
      <c r="BI26" s="641" t="s">
        <v>630</v>
      </c>
      <c r="BJ26" s="201"/>
      <c r="BK26" s="201"/>
      <c r="BL26" s="201"/>
      <c r="BM26" s="201"/>
      <c r="BN26" s="642"/>
      <c r="BO26" s="201"/>
      <c r="BP26" s="201"/>
      <c r="BR26" s="203" t="s">
        <v>631</v>
      </c>
      <c r="CY26" s="465">
        <v>14</v>
      </c>
      <c r="CZ26" s="466">
        <v>13</v>
      </c>
      <c r="DA26" s="467" t="s">
        <v>632</v>
      </c>
      <c r="DB26" s="468">
        <v>65</v>
      </c>
      <c r="DC26" s="469">
        <v>25</v>
      </c>
      <c r="DD26" s="572">
        <v>90</v>
      </c>
      <c r="DE26" s="573">
        <v>30</v>
      </c>
      <c r="DF26" s="574">
        <v>35</v>
      </c>
      <c r="DG26" s="473">
        <f t="shared" si="0"/>
        <v>65</v>
      </c>
      <c r="DH26" s="470">
        <v>50</v>
      </c>
      <c r="DI26" s="468">
        <v>80</v>
      </c>
      <c r="DJ26" s="471">
        <v>0</v>
      </c>
      <c r="DK26" s="471">
        <v>0</v>
      </c>
      <c r="DL26" s="471">
        <v>0</v>
      </c>
      <c r="DM26" s="471">
        <v>0</v>
      </c>
      <c r="DN26" s="573">
        <v>100</v>
      </c>
      <c r="DO26" s="574">
        <v>75</v>
      </c>
      <c r="DP26" s="571">
        <v>100</v>
      </c>
      <c r="DQ26" s="643">
        <v>70</v>
      </c>
    </row>
    <row r="27" spans="1:121" ht="21" customHeight="1" thickBot="1">
      <c r="A27" s="202"/>
      <c r="C27" s="644"/>
      <c r="D27" s="645"/>
      <c r="E27" s="248"/>
      <c r="F27" s="646" t="s">
        <v>633</v>
      </c>
      <c r="G27" s="647"/>
      <c r="H27" s="647"/>
      <c r="I27" s="645"/>
      <c r="J27" s="648"/>
      <c r="K27" s="308" t="s">
        <v>634</v>
      </c>
      <c r="L27" s="280"/>
      <c r="M27" s="649"/>
      <c r="N27" s="280"/>
      <c r="O27" s="280"/>
      <c r="P27" s="280"/>
      <c r="Q27" s="280"/>
      <c r="R27" s="280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  <c r="AG27" s="301"/>
      <c r="AH27" s="301"/>
      <c r="AI27" s="301"/>
      <c r="AJ27" s="301"/>
      <c r="AK27" s="650"/>
      <c r="AL27" s="651" t="s">
        <v>635</v>
      </c>
      <c r="AM27" s="652"/>
      <c r="AN27" s="653"/>
      <c r="AQ27" s="641" t="s">
        <v>636</v>
      </c>
      <c r="AR27" s="201"/>
      <c r="AS27" s="201"/>
      <c r="AU27" s="2097">
        <f>X16</f>
        <v>17</v>
      </c>
      <c r="AV27" s="2098"/>
      <c r="AW27" s="641" t="s">
        <v>636</v>
      </c>
      <c r="AX27" s="201"/>
      <c r="AY27" s="201"/>
      <c r="BA27" s="2097">
        <f>Z16</f>
        <v>15</v>
      </c>
      <c r="BB27" s="2098"/>
      <c r="BC27" s="641" t="s">
        <v>636</v>
      </c>
      <c r="BD27" s="201"/>
      <c r="BE27" s="201"/>
      <c r="BG27" s="2097">
        <f>AB16</f>
        <v>20</v>
      </c>
      <c r="BH27" s="2098"/>
      <c r="BI27" s="641" t="s">
        <v>636</v>
      </c>
      <c r="BJ27" s="201"/>
      <c r="BK27" s="201"/>
      <c r="BM27" s="2097">
        <f>AD16</f>
        <v>30</v>
      </c>
      <c r="BN27" s="2098"/>
      <c r="BO27" s="201"/>
      <c r="BP27" s="654"/>
      <c r="BQ27" s="655"/>
      <c r="BR27" s="201" t="s">
        <v>637</v>
      </c>
      <c r="BS27" s="201"/>
      <c r="BT27" s="201"/>
      <c r="BU27" s="2092">
        <f xml:space="preserve"> $AM$4 * $AG$7 * AB30</f>
        <v>2500</v>
      </c>
      <c r="BV27" s="2093"/>
      <c r="BW27" s="2094"/>
      <c r="BX27" s="642"/>
      <c r="BY27" s="655"/>
      <c r="BZ27" s="201" t="s">
        <v>637</v>
      </c>
      <c r="CA27" s="201"/>
      <c r="CB27" s="201"/>
      <c r="CC27" s="2092">
        <f xml:space="preserve"> $AM$4 * $AG$7 * AD30</f>
        <v>4000</v>
      </c>
      <c r="CD27" s="2093"/>
      <c r="CE27" s="2094"/>
      <c r="CF27" s="642"/>
      <c r="CG27" s="655"/>
      <c r="CH27" s="201" t="s">
        <v>637</v>
      </c>
      <c r="CI27" s="201"/>
      <c r="CJ27" s="201"/>
      <c r="CK27" s="2092">
        <f xml:space="preserve"> $AM$4 * $AG$7 * AD30</f>
        <v>4000</v>
      </c>
      <c r="CL27" s="2093"/>
      <c r="CM27" s="2094"/>
      <c r="CN27" s="642"/>
      <c r="CO27" s="655"/>
      <c r="CP27" s="201" t="s">
        <v>637</v>
      </c>
      <c r="CQ27" s="201"/>
      <c r="CR27" s="201"/>
      <c r="CS27" s="2092">
        <f xml:space="preserve"> $AM$4 * $AG$7 * AH30</f>
        <v>300</v>
      </c>
      <c r="CT27" s="2093"/>
      <c r="CU27" s="2094"/>
      <c r="CV27" s="642"/>
      <c r="CY27" s="491">
        <v>15</v>
      </c>
      <c r="CZ27" s="492">
        <v>14</v>
      </c>
      <c r="DA27" s="493" t="s">
        <v>638</v>
      </c>
      <c r="DB27" s="494">
        <v>65</v>
      </c>
      <c r="DC27" s="495">
        <v>25</v>
      </c>
      <c r="DD27" s="586">
        <v>30</v>
      </c>
      <c r="DE27" s="497">
        <v>30</v>
      </c>
      <c r="DF27" s="498">
        <v>35</v>
      </c>
      <c r="DG27" s="499">
        <f t="shared" si="0"/>
        <v>65</v>
      </c>
      <c r="DH27" s="586">
        <v>5</v>
      </c>
      <c r="DI27" s="589">
        <v>5</v>
      </c>
      <c r="DJ27" s="497">
        <v>0</v>
      </c>
      <c r="DK27" s="497">
        <v>0</v>
      </c>
      <c r="DL27" s="497">
        <v>0</v>
      </c>
      <c r="DM27" s="497">
        <v>0</v>
      </c>
      <c r="DN27" s="497">
        <v>100</v>
      </c>
      <c r="DO27" s="498">
        <v>75</v>
      </c>
      <c r="DP27" s="494">
        <v>100</v>
      </c>
      <c r="DQ27" s="500">
        <v>70</v>
      </c>
    </row>
    <row r="28" spans="1:121" ht="21" customHeight="1" thickBot="1">
      <c r="A28" s="202"/>
      <c r="B28" s="656"/>
      <c r="C28" s="657"/>
      <c r="D28" s="657"/>
      <c r="E28" s="658" t="s">
        <v>639</v>
      </c>
      <c r="F28" s="657"/>
      <c r="G28" s="657"/>
      <c r="H28" s="657"/>
      <c r="I28" s="657"/>
      <c r="J28" s="657"/>
      <c r="K28" s="659"/>
      <c r="O28" s="660"/>
      <c r="P28" s="661"/>
      <c r="Q28" s="662" t="s">
        <v>640</v>
      </c>
      <c r="V28" s="2110" t="s">
        <v>490</v>
      </c>
      <c r="W28" s="253"/>
      <c r="X28" s="253"/>
      <c r="Y28" s="313" t="s">
        <v>491</v>
      </c>
      <c r="Z28" s="314"/>
      <c r="AA28" s="314"/>
      <c r="AB28" s="2119" t="s">
        <v>492</v>
      </c>
      <c r="AC28" s="2119"/>
      <c r="AD28" s="2119" t="s">
        <v>493</v>
      </c>
      <c r="AE28" s="2119"/>
      <c r="AF28" s="2119" t="s">
        <v>494</v>
      </c>
      <c r="AG28" s="2119"/>
      <c r="AH28" s="2119" t="s">
        <v>495</v>
      </c>
      <c r="AI28" s="2119"/>
      <c r="AO28" s="202"/>
      <c r="AQ28" s="641" t="s">
        <v>641</v>
      </c>
      <c r="AR28" s="201"/>
      <c r="AS28" s="201"/>
      <c r="AT28" s="2104">
        <f>AB33</f>
        <v>34000</v>
      </c>
      <c r="AU28" s="2105"/>
      <c r="AV28" s="2106"/>
      <c r="AW28" s="641" t="s">
        <v>641</v>
      </c>
      <c r="AX28" s="201"/>
      <c r="AY28" s="201"/>
      <c r="AZ28" s="2104">
        <f>AD33</f>
        <v>48000</v>
      </c>
      <c r="BA28" s="2105"/>
      <c r="BB28" s="2106"/>
      <c r="BC28" s="641" t="s">
        <v>641</v>
      </c>
      <c r="BD28" s="201"/>
      <c r="BE28" s="201"/>
      <c r="BF28" s="2104">
        <f>AF33</f>
        <v>16000</v>
      </c>
      <c r="BG28" s="2105"/>
      <c r="BH28" s="2106"/>
      <c r="BI28" s="641" t="s">
        <v>641</v>
      </c>
      <c r="BJ28" s="201"/>
      <c r="BK28" s="201"/>
      <c r="BL28" s="2104">
        <f>AH33</f>
        <v>7200</v>
      </c>
      <c r="BM28" s="2105"/>
      <c r="BN28" s="2106"/>
      <c r="BO28" s="654"/>
      <c r="BP28" s="654"/>
      <c r="BQ28" s="655"/>
      <c r="BR28" s="201" t="s">
        <v>642</v>
      </c>
      <c r="BS28" s="201"/>
      <c r="BT28" s="201"/>
      <c r="BU28" s="201"/>
      <c r="BV28" s="2066"/>
      <c r="BW28" s="2067"/>
      <c r="BX28" s="642"/>
      <c r="BY28" s="655"/>
      <c r="BZ28" s="201" t="s">
        <v>642</v>
      </c>
      <c r="CA28" s="201"/>
      <c r="CB28" s="201"/>
      <c r="CC28" s="201"/>
      <c r="CD28" s="2066"/>
      <c r="CE28" s="2067"/>
      <c r="CF28" s="642"/>
      <c r="CG28" s="655"/>
      <c r="CH28" s="201" t="s">
        <v>642</v>
      </c>
      <c r="CI28" s="201"/>
      <c r="CJ28" s="201"/>
      <c r="CK28" s="201"/>
      <c r="CL28" s="2066"/>
      <c r="CM28" s="2067"/>
      <c r="CN28" s="642"/>
      <c r="CO28" s="655"/>
      <c r="CP28" s="201" t="s">
        <v>642</v>
      </c>
      <c r="CQ28" s="201"/>
      <c r="CR28" s="201"/>
      <c r="CS28" s="201"/>
      <c r="CT28" s="2066"/>
      <c r="CU28" s="2067"/>
      <c r="CV28" s="642"/>
      <c r="CY28" s="511">
        <v>16</v>
      </c>
      <c r="CZ28" s="512">
        <v>15</v>
      </c>
      <c r="DA28" s="513" t="s">
        <v>643</v>
      </c>
      <c r="DB28" s="514">
        <v>65</v>
      </c>
      <c r="DC28" s="515">
        <v>25</v>
      </c>
      <c r="DD28" s="516">
        <v>30</v>
      </c>
      <c r="DE28" s="517">
        <v>30</v>
      </c>
      <c r="DF28" s="607">
        <v>30</v>
      </c>
      <c r="DG28" s="519">
        <f t="shared" si="0"/>
        <v>65</v>
      </c>
      <c r="DH28" s="516">
        <v>5</v>
      </c>
      <c r="DI28" s="514">
        <v>5</v>
      </c>
      <c r="DJ28" s="514">
        <v>0</v>
      </c>
      <c r="DK28" s="514">
        <v>0</v>
      </c>
      <c r="DL28" s="514">
        <v>0</v>
      </c>
      <c r="DM28" s="514">
        <v>0</v>
      </c>
      <c r="DN28" s="517">
        <v>100</v>
      </c>
      <c r="DO28" s="518">
        <v>75</v>
      </c>
      <c r="DP28" s="514">
        <v>100</v>
      </c>
      <c r="DQ28" s="520">
        <v>70</v>
      </c>
    </row>
    <row r="29" spans="1:121" ht="21" customHeight="1" thickTop="1">
      <c r="A29" s="202"/>
      <c r="C29" s="663"/>
      <c r="D29" s="664"/>
      <c r="E29" s="665"/>
      <c r="F29" s="666"/>
      <c r="G29" s="667"/>
      <c r="H29" s="668"/>
      <c r="I29" s="669"/>
      <c r="J29" s="670"/>
      <c r="K29" s="203"/>
      <c r="L29" s="203"/>
      <c r="O29" s="671"/>
      <c r="P29" s="672"/>
      <c r="Q29" s="203"/>
      <c r="R29" s="662" t="s">
        <v>644</v>
      </c>
      <c r="V29" s="2111"/>
      <c r="W29" s="673" t="s">
        <v>645</v>
      </c>
      <c r="X29" s="674"/>
      <c r="Y29" s="675"/>
      <c r="Z29" s="2116" t="s">
        <v>646</v>
      </c>
      <c r="AA29" s="2116"/>
      <c r="AB29" s="2117" t="s">
        <v>501</v>
      </c>
      <c r="AC29" s="2117"/>
      <c r="AD29" s="2117" t="s">
        <v>502</v>
      </c>
      <c r="AE29" s="2117"/>
      <c r="AF29" s="2117" t="s">
        <v>503</v>
      </c>
      <c r="AG29" s="2117"/>
      <c r="AH29" s="2117" t="s">
        <v>504</v>
      </c>
      <c r="AI29" s="2118"/>
      <c r="AP29" s="202"/>
      <c r="AQ29" s="203" t="s">
        <v>647</v>
      </c>
      <c r="AU29" s="2090"/>
      <c r="AV29" s="2091"/>
      <c r="AW29" s="203" t="s">
        <v>647</v>
      </c>
      <c r="BA29" s="2090"/>
      <c r="BB29" s="2091"/>
      <c r="BC29" s="203" t="s">
        <v>647</v>
      </c>
      <c r="BG29" s="2090"/>
      <c r="BH29" s="2091"/>
      <c r="BI29" s="203" t="s">
        <v>647</v>
      </c>
      <c r="BM29" s="2090"/>
      <c r="BN29" s="2091"/>
      <c r="BO29" s="654"/>
      <c r="BP29" s="654"/>
      <c r="BQ29" s="655"/>
      <c r="BR29" s="201" t="s">
        <v>648</v>
      </c>
      <c r="BS29" s="201"/>
      <c r="BT29" s="201"/>
      <c r="BU29" s="2092">
        <f xml:space="preserve"> $AM$5 * $AG$7 * AB30</f>
        <v>12500</v>
      </c>
      <c r="BV29" s="2093"/>
      <c r="BW29" s="2094"/>
      <c r="BX29" s="642"/>
      <c r="BY29" s="655"/>
      <c r="BZ29" s="201" t="s">
        <v>648</v>
      </c>
      <c r="CA29" s="201"/>
      <c r="CB29" s="201"/>
      <c r="CC29" s="2092">
        <f xml:space="preserve"> $AM$5 * $AG$7 * AD30</f>
        <v>20000</v>
      </c>
      <c r="CD29" s="2093"/>
      <c r="CE29" s="2094"/>
      <c r="CF29" s="642"/>
      <c r="CG29" s="655"/>
      <c r="CH29" s="201" t="s">
        <v>648</v>
      </c>
      <c r="CI29" s="201"/>
      <c r="CJ29" s="201"/>
      <c r="CK29" s="2092">
        <f xml:space="preserve"> $AM$5 * $AG$7 * AF30</f>
        <v>5000</v>
      </c>
      <c r="CL29" s="2093"/>
      <c r="CM29" s="2094"/>
      <c r="CN29" s="642"/>
      <c r="CO29" s="655"/>
      <c r="CP29" s="201" t="s">
        <v>648</v>
      </c>
      <c r="CQ29" s="201"/>
      <c r="CR29" s="201"/>
      <c r="CS29" s="2092">
        <f xml:space="preserve"> $AM$5 * $AG$7 * AH30</f>
        <v>1500</v>
      </c>
      <c r="CT29" s="2093"/>
      <c r="CU29" s="2094"/>
      <c r="CV29" s="642"/>
      <c r="CY29" s="465">
        <v>17</v>
      </c>
      <c r="CZ29" s="466">
        <v>16</v>
      </c>
      <c r="DA29" s="467" t="s">
        <v>649</v>
      </c>
      <c r="DB29" s="571">
        <v>80</v>
      </c>
      <c r="DC29" s="469">
        <v>25</v>
      </c>
      <c r="DD29" s="470">
        <v>30</v>
      </c>
      <c r="DE29" s="573">
        <v>40</v>
      </c>
      <c r="DF29" s="472">
        <v>30</v>
      </c>
      <c r="DG29" s="575">
        <f t="shared" si="0"/>
        <v>80</v>
      </c>
      <c r="DH29" s="470">
        <v>5</v>
      </c>
      <c r="DI29" s="468">
        <v>5</v>
      </c>
      <c r="DJ29" s="468">
        <v>0</v>
      </c>
      <c r="DK29" s="468">
        <v>0</v>
      </c>
      <c r="DL29" s="468">
        <v>0</v>
      </c>
      <c r="DM29" s="468">
        <v>0</v>
      </c>
      <c r="DN29" s="573">
        <v>0</v>
      </c>
      <c r="DO29" s="574">
        <v>95</v>
      </c>
      <c r="DP29" s="571">
        <v>50</v>
      </c>
      <c r="DQ29" s="643">
        <v>50</v>
      </c>
    </row>
    <row r="30" spans="1:121" ht="21" customHeight="1" thickBot="1">
      <c r="A30" s="202"/>
      <c r="C30" s="2107" t="s">
        <v>650</v>
      </c>
      <c r="D30" s="676"/>
      <c r="E30" s="677"/>
      <c r="F30" s="671"/>
      <c r="G30" s="678"/>
      <c r="H30" s="679"/>
      <c r="I30" s="680"/>
      <c r="J30" s="2107" t="s">
        <v>651</v>
      </c>
      <c r="K30" s="203"/>
      <c r="L30" s="203"/>
      <c r="M30" s="203"/>
      <c r="N30" s="203"/>
      <c r="O30" s="671"/>
      <c r="P30" s="672"/>
      <c r="Q30" s="203"/>
      <c r="R30" s="203"/>
      <c r="V30" s="379" t="s">
        <v>652</v>
      </c>
      <c r="W30" s="681" t="s">
        <v>457</v>
      </c>
      <c r="X30" s="682"/>
      <c r="Y30" s="201"/>
      <c r="Z30" s="2108"/>
      <c r="AA30" s="2108"/>
      <c r="AB30" s="2109">
        <v>25</v>
      </c>
      <c r="AC30" s="2109"/>
      <c r="AD30" s="2109">
        <v>40</v>
      </c>
      <c r="AE30" s="2109"/>
      <c r="AF30" s="2109">
        <v>10</v>
      </c>
      <c r="AG30" s="2109"/>
      <c r="AH30" s="2109">
        <v>3</v>
      </c>
      <c r="AI30" s="2115"/>
      <c r="AJ30" s="683" t="s">
        <v>559</v>
      </c>
      <c r="AK30" s="485"/>
      <c r="AL30" s="485"/>
      <c r="AM30" s="486"/>
      <c r="AQ30" s="641" t="s">
        <v>653</v>
      </c>
      <c r="AR30" s="201"/>
      <c r="AS30" s="201"/>
      <c r="AU30" s="2097">
        <f>X17</f>
        <v>23</v>
      </c>
      <c r="AV30" s="2098"/>
      <c r="AW30" s="641" t="s">
        <v>653</v>
      </c>
      <c r="AX30" s="201"/>
      <c r="AY30" s="201"/>
      <c r="BA30" s="2097">
        <f>Z17</f>
        <v>15</v>
      </c>
      <c r="BB30" s="2098"/>
      <c r="BC30" s="641" t="s">
        <v>653</v>
      </c>
      <c r="BD30" s="201"/>
      <c r="BE30" s="201"/>
      <c r="BG30" s="2097">
        <f>AB17</f>
        <v>28</v>
      </c>
      <c r="BH30" s="2098"/>
      <c r="BI30" s="641" t="s">
        <v>653</v>
      </c>
      <c r="BJ30" s="201"/>
      <c r="BK30" s="201"/>
      <c r="BM30" s="2097">
        <f>AD17</f>
        <v>55</v>
      </c>
      <c r="BN30" s="2098"/>
      <c r="BO30" s="654"/>
      <c r="BP30" s="654"/>
      <c r="BQ30" s="655"/>
      <c r="BR30" s="201" t="s">
        <v>654</v>
      </c>
      <c r="BS30" s="201"/>
      <c r="BT30" s="201"/>
      <c r="BU30" s="201"/>
      <c r="BV30" s="2066"/>
      <c r="BW30" s="2067"/>
      <c r="BX30" s="642"/>
      <c r="BY30" s="655"/>
      <c r="BZ30" s="201" t="s">
        <v>654</v>
      </c>
      <c r="CA30" s="201"/>
      <c r="CB30" s="201"/>
      <c r="CC30" s="201"/>
      <c r="CD30" s="2066"/>
      <c r="CE30" s="2067"/>
      <c r="CF30" s="642"/>
      <c r="CG30" s="655"/>
      <c r="CH30" s="201" t="s">
        <v>654</v>
      </c>
      <c r="CI30" s="201"/>
      <c r="CJ30" s="201"/>
      <c r="CK30" s="201"/>
      <c r="CL30" s="2066"/>
      <c r="CM30" s="2067"/>
      <c r="CN30" s="642"/>
      <c r="CO30" s="655"/>
      <c r="CP30" s="201" t="s">
        <v>654</v>
      </c>
      <c r="CQ30" s="201"/>
      <c r="CR30" s="201"/>
      <c r="CS30" s="201"/>
      <c r="CT30" s="2066"/>
      <c r="CU30" s="2067"/>
      <c r="CV30" s="642"/>
      <c r="CY30" s="531">
        <v>18</v>
      </c>
      <c r="CZ30" s="532">
        <v>17</v>
      </c>
      <c r="DA30" s="533" t="s">
        <v>655</v>
      </c>
      <c r="DB30" s="534">
        <v>80</v>
      </c>
      <c r="DC30" s="532">
        <v>35</v>
      </c>
      <c r="DD30" s="540">
        <v>50</v>
      </c>
      <c r="DE30" s="622">
        <v>45</v>
      </c>
      <c r="DF30" s="623">
        <v>50</v>
      </c>
      <c r="DG30" s="539">
        <f t="shared" si="0"/>
        <v>80</v>
      </c>
      <c r="DH30" s="540">
        <v>50</v>
      </c>
      <c r="DI30" s="541">
        <v>80</v>
      </c>
      <c r="DJ30" s="534">
        <v>0</v>
      </c>
      <c r="DK30" s="534">
        <v>0</v>
      </c>
      <c r="DL30" s="534">
        <v>0</v>
      </c>
      <c r="DM30" s="534">
        <v>0</v>
      </c>
      <c r="DN30" s="537">
        <v>0</v>
      </c>
      <c r="DO30" s="538">
        <v>95</v>
      </c>
      <c r="DP30" s="534">
        <v>50</v>
      </c>
      <c r="DQ30" s="542">
        <v>50</v>
      </c>
    </row>
    <row r="31" spans="1:121" ht="21" customHeight="1">
      <c r="A31" s="202"/>
      <c r="B31" s="203"/>
      <c r="C31" s="2107"/>
      <c r="D31" s="676"/>
      <c r="E31" s="684"/>
      <c r="F31" s="685" t="s">
        <v>656</v>
      </c>
      <c r="G31" s="686"/>
      <c r="H31" s="687"/>
      <c r="I31" s="680"/>
      <c r="J31" s="2107"/>
      <c r="K31" s="203"/>
      <c r="M31" s="688"/>
      <c r="N31" s="689"/>
      <c r="O31" s="671"/>
      <c r="P31" s="672"/>
      <c r="Q31" s="203"/>
      <c r="R31" s="203"/>
      <c r="V31" s="379" t="s">
        <v>657</v>
      </c>
      <c r="W31" s="690" t="s">
        <v>658</v>
      </c>
      <c r="X31" s="582"/>
      <c r="Y31" s="582"/>
      <c r="Z31" s="2112"/>
      <c r="AA31" s="2112"/>
      <c r="AB31" s="2113">
        <f xml:space="preserve"> AB30*X20</f>
        <v>501470.58823529416</v>
      </c>
      <c r="AC31" s="2113"/>
      <c r="AD31" s="2113">
        <f xml:space="preserve"> AD30*Z20</f>
        <v>564705.8823529412</v>
      </c>
      <c r="AE31" s="2113"/>
      <c r="AF31" s="2113">
        <f xml:space="preserve"> AF30*AB20</f>
        <v>249411.76470588235</v>
      </c>
      <c r="AG31" s="2113"/>
      <c r="AH31" s="2113">
        <f xml:space="preserve"> AH30*AD20</f>
        <v>141176.4705882353</v>
      </c>
      <c r="AI31" s="2114"/>
      <c r="AJ31" s="203" t="s">
        <v>659</v>
      </c>
      <c r="AQ31" s="641" t="s">
        <v>660</v>
      </c>
      <c r="AR31" s="201"/>
      <c r="AS31" s="201"/>
      <c r="AT31" s="2104">
        <f>AB34</f>
        <v>40250</v>
      </c>
      <c r="AU31" s="2105"/>
      <c r="AV31" s="2106"/>
      <c r="AW31" s="641" t="s">
        <v>660</v>
      </c>
      <c r="AX31" s="201"/>
      <c r="AY31" s="201"/>
      <c r="AZ31" s="2104">
        <f>AD34</f>
        <v>42000</v>
      </c>
      <c r="BA31" s="2105"/>
      <c r="BB31" s="2106"/>
      <c r="BC31" s="641" t="s">
        <v>660</v>
      </c>
      <c r="BD31" s="201"/>
      <c r="BE31" s="201"/>
      <c r="BF31" s="2104">
        <f>AF34</f>
        <v>19600</v>
      </c>
      <c r="BG31" s="2105"/>
      <c r="BH31" s="2106"/>
      <c r="BI31" s="641" t="s">
        <v>660</v>
      </c>
      <c r="BJ31" s="201"/>
      <c r="BK31" s="201"/>
      <c r="BL31" s="2104">
        <f>AH34</f>
        <v>11550</v>
      </c>
      <c r="BM31" s="2105"/>
      <c r="BN31" s="2106"/>
      <c r="BO31" s="654"/>
      <c r="BP31" s="201"/>
      <c r="BQ31" s="655"/>
      <c r="BR31" s="201" t="s">
        <v>661</v>
      </c>
      <c r="BS31" s="201"/>
      <c r="BT31" s="201"/>
      <c r="BU31" s="2092">
        <f xml:space="preserve"> $AM$6 * $AG$7 * AB30</f>
        <v>22500</v>
      </c>
      <c r="BV31" s="2093"/>
      <c r="BW31" s="2094"/>
      <c r="BX31" s="642"/>
      <c r="BY31" s="655"/>
      <c r="BZ31" s="201" t="s">
        <v>661</v>
      </c>
      <c r="CA31" s="201"/>
      <c r="CB31" s="201"/>
      <c r="CC31" s="2092">
        <f xml:space="preserve"> $AM$6 * $AG$7 * AD30</f>
        <v>36000</v>
      </c>
      <c r="CD31" s="2093"/>
      <c r="CE31" s="2094"/>
      <c r="CF31" s="642"/>
      <c r="CG31" s="655"/>
      <c r="CH31" s="201" t="s">
        <v>661</v>
      </c>
      <c r="CI31" s="201"/>
      <c r="CJ31" s="201"/>
      <c r="CK31" s="2092">
        <f xml:space="preserve"> $AM$6 * $AG$7 * AF30</f>
        <v>9000</v>
      </c>
      <c r="CL31" s="2093"/>
      <c r="CM31" s="2094"/>
      <c r="CN31" s="642"/>
      <c r="CO31" s="655"/>
      <c r="CP31" s="201" t="s">
        <v>661</v>
      </c>
      <c r="CQ31" s="201"/>
      <c r="CR31" s="201"/>
      <c r="CS31" s="2092">
        <f xml:space="preserve"> $AM$6 * $AG$7 * AH30</f>
        <v>2700</v>
      </c>
      <c r="CT31" s="2093"/>
      <c r="CU31" s="2094"/>
      <c r="CV31" s="642"/>
      <c r="CY31" s="550">
        <v>19</v>
      </c>
      <c r="CZ31" s="551">
        <v>18</v>
      </c>
      <c r="DA31" s="552" t="s">
        <v>662</v>
      </c>
      <c r="DB31" s="691">
        <v>85</v>
      </c>
      <c r="DC31" s="551">
        <v>70</v>
      </c>
      <c r="DD31" s="554">
        <v>90</v>
      </c>
      <c r="DE31" s="555">
        <v>50</v>
      </c>
      <c r="DF31" s="559">
        <v>50</v>
      </c>
      <c r="DG31" s="575">
        <f t="shared" si="0"/>
        <v>85</v>
      </c>
      <c r="DH31" s="557">
        <v>50</v>
      </c>
      <c r="DI31" s="553">
        <v>80</v>
      </c>
      <c r="DJ31" s="558">
        <v>0</v>
      </c>
      <c r="DK31" s="558">
        <v>0</v>
      </c>
      <c r="DL31" s="558">
        <v>0</v>
      </c>
      <c r="DM31" s="558">
        <v>0</v>
      </c>
      <c r="DN31" s="555">
        <v>100</v>
      </c>
      <c r="DO31" s="556">
        <v>75</v>
      </c>
      <c r="DP31" s="691">
        <v>100</v>
      </c>
      <c r="DQ31" s="692">
        <v>70</v>
      </c>
    </row>
    <row r="32" spans="1:121" ht="21" customHeight="1" thickBot="1">
      <c r="A32" s="202"/>
      <c r="B32" s="203"/>
      <c r="C32" s="2107"/>
      <c r="D32" s="693"/>
      <c r="E32" s="694"/>
      <c r="F32" s="695" t="s">
        <v>663</v>
      </c>
      <c r="G32" s="696"/>
      <c r="H32" s="687"/>
      <c r="I32" s="680"/>
      <c r="J32" s="2107"/>
      <c r="K32" s="203"/>
      <c r="M32" s="697"/>
      <c r="N32" s="698"/>
      <c r="O32" s="671"/>
      <c r="P32" s="672"/>
      <c r="Q32" s="203"/>
      <c r="R32" s="203"/>
      <c r="V32" s="379" t="s">
        <v>664</v>
      </c>
      <c r="W32" s="413" t="s">
        <v>665</v>
      </c>
      <c r="X32" s="201"/>
      <c r="Y32" s="201"/>
      <c r="Z32" s="2086">
        <v>1</v>
      </c>
      <c r="AA32" s="2086"/>
      <c r="AB32" s="2073">
        <f xml:space="preserve"> $Z32 * AB$30 * X21</f>
        <v>25073.529411764706</v>
      </c>
      <c r="AC32" s="2073"/>
      <c r="AD32" s="2073">
        <f xml:space="preserve"> $Z32 * AD$30 * Z21</f>
        <v>28235.294117647063</v>
      </c>
      <c r="AE32" s="2073"/>
      <c r="AF32" s="2073">
        <f xml:space="preserve"> $Z32 * AF$30 * AB21</f>
        <v>12470.588235294117</v>
      </c>
      <c r="AG32" s="2073"/>
      <c r="AH32" s="2073">
        <f xml:space="preserve"> $Z32 * AH$30 * AD21</f>
        <v>7058.8235294117649</v>
      </c>
      <c r="AI32" s="2074"/>
      <c r="AJ32" s="203" t="s">
        <v>666</v>
      </c>
      <c r="AQ32" s="203" t="s">
        <v>667</v>
      </c>
      <c r="AU32" s="2090"/>
      <c r="AV32" s="2091"/>
      <c r="AW32" s="203" t="s">
        <v>667</v>
      </c>
      <c r="BA32" s="2090"/>
      <c r="BB32" s="2091"/>
      <c r="BC32" s="203" t="s">
        <v>667</v>
      </c>
      <c r="BG32" s="2090"/>
      <c r="BH32" s="2091"/>
      <c r="BI32" s="203" t="s">
        <v>667</v>
      </c>
      <c r="BM32" s="2090"/>
      <c r="BN32" s="2091"/>
      <c r="BO32" s="201"/>
      <c r="BP32" s="654"/>
      <c r="BQ32" s="655"/>
      <c r="BR32" s="201" t="s">
        <v>668</v>
      </c>
      <c r="BS32" s="201"/>
      <c r="BT32" s="201"/>
      <c r="BU32" s="201"/>
      <c r="BV32" s="2066"/>
      <c r="BW32" s="2067"/>
      <c r="BX32" s="642"/>
      <c r="BY32" s="655"/>
      <c r="BZ32" s="201" t="s">
        <v>668</v>
      </c>
      <c r="CA32" s="201"/>
      <c r="CB32" s="201"/>
      <c r="CC32" s="201"/>
      <c r="CD32" s="2066"/>
      <c r="CE32" s="2067"/>
      <c r="CF32" s="642"/>
      <c r="CG32" s="655"/>
      <c r="CH32" s="201" t="s">
        <v>668</v>
      </c>
      <c r="CI32" s="201"/>
      <c r="CJ32" s="201"/>
      <c r="CK32" s="201"/>
      <c r="CL32" s="2066"/>
      <c r="CM32" s="2067"/>
      <c r="CN32" s="642"/>
      <c r="CO32" s="655"/>
      <c r="CP32" s="201" t="s">
        <v>668</v>
      </c>
      <c r="CQ32" s="201"/>
      <c r="CR32" s="201"/>
      <c r="CS32" s="201"/>
      <c r="CT32" s="2066"/>
      <c r="CU32" s="2067"/>
      <c r="CV32" s="642"/>
      <c r="CY32" s="465">
        <v>20</v>
      </c>
      <c r="CZ32" s="466">
        <v>19</v>
      </c>
      <c r="DA32" s="467" t="s">
        <v>669</v>
      </c>
      <c r="DB32" s="468">
        <v>85</v>
      </c>
      <c r="DC32" s="469">
        <v>70</v>
      </c>
      <c r="DD32" s="572">
        <v>30</v>
      </c>
      <c r="DE32" s="573">
        <v>40</v>
      </c>
      <c r="DF32" s="574">
        <v>40</v>
      </c>
      <c r="DG32" s="473">
        <f t="shared" si="0"/>
        <v>85</v>
      </c>
      <c r="DH32" s="470">
        <v>50</v>
      </c>
      <c r="DI32" s="468">
        <v>80</v>
      </c>
      <c r="DJ32" s="471">
        <v>0</v>
      </c>
      <c r="DK32" s="471">
        <v>0</v>
      </c>
      <c r="DL32" s="471">
        <v>0</v>
      </c>
      <c r="DM32" s="471">
        <v>0</v>
      </c>
      <c r="DN32" s="471">
        <v>100</v>
      </c>
      <c r="DO32" s="472">
        <v>75</v>
      </c>
      <c r="DP32" s="468">
        <v>100</v>
      </c>
      <c r="DQ32" s="474">
        <v>70</v>
      </c>
    </row>
    <row r="33" spans="1:121" ht="21" customHeight="1">
      <c r="A33" s="202"/>
      <c r="B33" s="203"/>
      <c r="C33" s="2107"/>
      <c r="D33" s="699"/>
      <c r="E33" s="700"/>
      <c r="F33" s="701"/>
      <c r="G33" s="701"/>
      <c r="H33" s="679"/>
      <c r="I33" s="680"/>
      <c r="J33" s="2107"/>
      <c r="K33" s="203"/>
      <c r="M33" s="697"/>
      <c r="N33" s="698"/>
      <c r="O33" s="671"/>
      <c r="P33" s="672"/>
      <c r="Q33" s="702"/>
      <c r="R33" s="703"/>
      <c r="V33" s="379" t="s">
        <v>670</v>
      </c>
      <c r="W33" s="413" t="s">
        <v>671</v>
      </c>
      <c r="X33" s="201"/>
      <c r="Y33" s="201"/>
      <c r="Z33" s="2086">
        <v>1</v>
      </c>
      <c r="AA33" s="2086"/>
      <c r="AB33" s="2073">
        <f xml:space="preserve"> $Z33 * AB$30 * X22</f>
        <v>34000</v>
      </c>
      <c r="AC33" s="2073"/>
      <c r="AD33" s="2073">
        <f xml:space="preserve"> $Z33 * AD$30 * Z22</f>
        <v>48000</v>
      </c>
      <c r="AE33" s="2073"/>
      <c r="AF33" s="2073">
        <f xml:space="preserve"> $Z33 * AF$30 * AB22</f>
        <v>16000</v>
      </c>
      <c r="AG33" s="2073"/>
      <c r="AH33" s="2073">
        <f xml:space="preserve"> $Z33 * AH$30 * AD22</f>
        <v>7200</v>
      </c>
      <c r="AI33" s="2074"/>
      <c r="AJ33" s="203" t="s">
        <v>672</v>
      </c>
      <c r="AQ33" s="641" t="s">
        <v>673</v>
      </c>
      <c r="AR33" s="201"/>
      <c r="AS33" s="201"/>
      <c r="AT33" s="2099">
        <f>AB36</f>
        <v>148985.29411764708</v>
      </c>
      <c r="AU33" s="2100"/>
      <c r="AV33" s="2101"/>
      <c r="AW33" s="641" t="s">
        <v>673</v>
      </c>
      <c r="AX33" s="201"/>
      <c r="AY33" s="201"/>
      <c r="AZ33" s="2099">
        <f>AD36</f>
        <v>177352.9411764706</v>
      </c>
      <c r="BA33" s="2100"/>
      <c r="BB33" s="2101"/>
      <c r="BC33" s="641" t="s">
        <v>673</v>
      </c>
      <c r="BD33" s="201"/>
      <c r="BE33" s="201"/>
      <c r="BF33" s="2097">
        <f>AF36</f>
        <v>72105.882352941175</v>
      </c>
      <c r="BG33" s="2102"/>
      <c r="BH33" s="2103"/>
      <c r="BI33" s="641" t="s">
        <v>673</v>
      </c>
      <c r="BJ33" s="201"/>
      <c r="BK33" s="201"/>
      <c r="BL33" s="2104">
        <f>AH36</f>
        <v>38713.235294117643</v>
      </c>
      <c r="BM33" s="2105"/>
      <c r="BN33" s="2106"/>
      <c r="BO33" s="654"/>
      <c r="BP33" s="654"/>
      <c r="BQ33" s="655"/>
      <c r="BR33" s="201" t="s">
        <v>674</v>
      </c>
      <c r="BS33" s="201"/>
      <c r="BT33" s="201"/>
      <c r="BU33" s="2092">
        <f xml:space="preserve"> $AM$7 * $AG$7 * AB30</f>
        <v>2500</v>
      </c>
      <c r="BV33" s="2093"/>
      <c r="BW33" s="2094"/>
      <c r="BX33" s="642"/>
      <c r="BY33" s="655"/>
      <c r="BZ33" s="201" t="s">
        <v>674</v>
      </c>
      <c r="CA33" s="201"/>
      <c r="CB33" s="201"/>
      <c r="CC33" s="2092">
        <f xml:space="preserve"> $AM$7 * $AG$7 * AD30</f>
        <v>4000</v>
      </c>
      <c r="CD33" s="2093"/>
      <c r="CE33" s="2094"/>
      <c r="CF33" s="642"/>
      <c r="CG33" s="655"/>
      <c r="CH33" s="201" t="s">
        <v>674</v>
      </c>
      <c r="CI33" s="201"/>
      <c r="CJ33" s="201"/>
      <c r="CK33" s="2092">
        <f xml:space="preserve"> $AM$7 * $AG$7 * AF30</f>
        <v>1000</v>
      </c>
      <c r="CL33" s="2093"/>
      <c r="CM33" s="2094"/>
      <c r="CN33" s="642"/>
      <c r="CO33" s="655"/>
      <c r="CP33" s="201" t="s">
        <v>674</v>
      </c>
      <c r="CQ33" s="201"/>
      <c r="CR33" s="201"/>
      <c r="CS33" s="2092">
        <f xml:space="preserve"> $AM$7 * $AG$7 * AH30</f>
        <v>300</v>
      </c>
      <c r="CT33" s="2093"/>
      <c r="CU33" s="2094"/>
      <c r="CV33" s="642"/>
      <c r="CY33" s="491">
        <v>21</v>
      </c>
      <c r="CZ33" s="492">
        <v>20</v>
      </c>
      <c r="DA33" s="493" t="s">
        <v>675</v>
      </c>
      <c r="DB33" s="494">
        <v>85</v>
      </c>
      <c r="DC33" s="495">
        <v>70</v>
      </c>
      <c r="DD33" s="496">
        <v>30</v>
      </c>
      <c r="DE33" s="587">
        <v>35</v>
      </c>
      <c r="DF33" s="588">
        <v>35</v>
      </c>
      <c r="DG33" s="499">
        <f t="shared" si="0"/>
        <v>85</v>
      </c>
      <c r="DH33" s="586">
        <v>5</v>
      </c>
      <c r="DI33" s="589">
        <v>5</v>
      </c>
      <c r="DJ33" s="497">
        <v>0</v>
      </c>
      <c r="DK33" s="497">
        <v>0</v>
      </c>
      <c r="DL33" s="497">
        <v>0</v>
      </c>
      <c r="DM33" s="497">
        <v>0</v>
      </c>
      <c r="DN33" s="497">
        <v>100</v>
      </c>
      <c r="DO33" s="498">
        <v>75</v>
      </c>
      <c r="DP33" s="494">
        <v>100</v>
      </c>
      <c r="DQ33" s="500">
        <v>70</v>
      </c>
    </row>
    <row r="34" spans="1:121" ht="21" customHeight="1" thickBot="1">
      <c r="A34" s="202"/>
      <c r="B34" s="203"/>
      <c r="C34" s="663"/>
      <c r="D34" s="704"/>
      <c r="E34" s="705"/>
      <c r="F34" s="705"/>
      <c r="G34" s="705"/>
      <c r="H34" s="706"/>
      <c r="I34" s="707"/>
      <c r="J34" s="670"/>
      <c r="K34" s="203"/>
      <c r="M34" s="697"/>
      <c r="N34" s="698"/>
      <c r="O34" s="671"/>
      <c r="P34" s="672"/>
      <c r="Q34" s="708"/>
      <c r="R34" s="709"/>
      <c r="S34" s="2095"/>
      <c r="T34" s="2096"/>
      <c r="U34" s="202"/>
      <c r="V34" s="379" t="s">
        <v>676</v>
      </c>
      <c r="W34" s="413" t="s">
        <v>677</v>
      </c>
      <c r="X34" s="201"/>
      <c r="Y34" s="201"/>
      <c r="Z34" s="2086">
        <v>1</v>
      </c>
      <c r="AA34" s="2086"/>
      <c r="AB34" s="2073">
        <f xml:space="preserve"> $Z34 * AB$30 * X23</f>
        <v>40250</v>
      </c>
      <c r="AC34" s="2073"/>
      <c r="AD34" s="2073">
        <f xml:space="preserve"> $Z34 * AD$30 * Z23</f>
        <v>42000</v>
      </c>
      <c r="AE34" s="2073"/>
      <c r="AF34" s="2073">
        <f xml:space="preserve"> $Z34 * AF$30 * AB23</f>
        <v>19600</v>
      </c>
      <c r="AG34" s="2073"/>
      <c r="AH34" s="2073">
        <f xml:space="preserve"> $Z34 * AH$30 * AD23</f>
        <v>11550</v>
      </c>
      <c r="AI34" s="2074"/>
      <c r="AJ34" s="203" t="s">
        <v>678</v>
      </c>
      <c r="AQ34" s="641" t="s">
        <v>679</v>
      </c>
      <c r="AR34" s="201"/>
      <c r="AS34" s="201"/>
      <c r="AT34" s="2087">
        <f>AT28+AT31</f>
        <v>74250</v>
      </c>
      <c r="AU34" s="2088"/>
      <c r="AV34" s="2089"/>
      <c r="AW34" s="641" t="s">
        <v>679</v>
      </c>
      <c r="AX34" s="201"/>
      <c r="AY34" s="201"/>
      <c r="AZ34" s="2087">
        <f>AZ28+AZ31</f>
        <v>90000</v>
      </c>
      <c r="BA34" s="2088"/>
      <c r="BB34" s="2089"/>
      <c r="BC34" s="641" t="s">
        <v>679</v>
      </c>
      <c r="BD34" s="201"/>
      <c r="BE34" s="201"/>
      <c r="BF34" s="2087">
        <f>BF28+BF31</f>
        <v>35600</v>
      </c>
      <c r="BG34" s="2088"/>
      <c r="BH34" s="2089"/>
      <c r="BI34" s="641" t="s">
        <v>679</v>
      </c>
      <c r="BJ34" s="201"/>
      <c r="BK34" s="201"/>
      <c r="BL34" s="2087">
        <f>BL28+BL31</f>
        <v>18750</v>
      </c>
      <c r="BM34" s="2088"/>
      <c r="BN34" s="2089"/>
      <c r="BO34" s="654"/>
      <c r="BP34" s="201"/>
      <c r="BQ34" s="655"/>
      <c r="BR34" s="201" t="s">
        <v>680</v>
      </c>
      <c r="BS34" s="201"/>
      <c r="BT34" s="201"/>
      <c r="BU34" s="201"/>
      <c r="BV34" s="2080"/>
      <c r="BW34" s="2081"/>
      <c r="BX34" s="642"/>
      <c r="BY34" s="655"/>
      <c r="BZ34" s="201" t="s">
        <v>680</v>
      </c>
      <c r="CA34" s="201"/>
      <c r="CB34" s="201"/>
      <c r="CC34" s="201"/>
      <c r="CD34" s="2080"/>
      <c r="CE34" s="2081"/>
      <c r="CF34" s="642"/>
      <c r="CG34" s="655"/>
      <c r="CH34" s="201" t="s">
        <v>680</v>
      </c>
      <c r="CI34" s="201"/>
      <c r="CJ34" s="201"/>
      <c r="CK34" s="201"/>
      <c r="CL34" s="2080"/>
      <c r="CM34" s="2081"/>
      <c r="CN34" s="642"/>
      <c r="CO34" s="655"/>
      <c r="CP34" s="201" t="s">
        <v>680</v>
      </c>
      <c r="CQ34" s="201"/>
      <c r="CR34" s="201"/>
      <c r="CS34" s="201"/>
      <c r="CT34" s="2080"/>
      <c r="CU34" s="2081"/>
      <c r="CV34" s="642"/>
      <c r="CY34" s="511">
        <v>22</v>
      </c>
      <c r="CZ34" s="512">
        <v>21</v>
      </c>
      <c r="DA34" s="513" t="s">
        <v>681</v>
      </c>
      <c r="DB34" s="605">
        <v>95</v>
      </c>
      <c r="DC34" s="515">
        <v>70</v>
      </c>
      <c r="DD34" s="516">
        <v>30</v>
      </c>
      <c r="DE34" s="606">
        <v>30</v>
      </c>
      <c r="DF34" s="607">
        <v>45</v>
      </c>
      <c r="DG34" s="608">
        <f t="shared" si="0"/>
        <v>95</v>
      </c>
      <c r="DH34" s="516">
        <v>5</v>
      </c>
      <c r="DI34" s="514">
        <v>5</v>
      </c>
      <c r="DJ34" s="514">
        <v>0</v>
      </c>
      <c r="DK34" s="514">
        <v>0</v>
      </c>
      <c r="DL34" s="514">
        <v>0</v>
      </c>
      <c r="DM34" s="514">
        <v>0</v>
      </c>
      <c r="DN34" s="517">
        <v>100</v>
      </c>
      <c r="DO34" s="518">
        <v>75</v>
      </c>
      <c r="DP34" s="514">
        <v>100</v>
      </c>
      <c r="DQ34" s="520">
        <v>70</v>
      </c>
    </row>
    <row r="35" spans="1:121" ht="21" customHeight="1" thickTop="1">
      <c r="A35" s="202"/>
      <c r="B35" s="659"/>
      <c r="C35" s="657"/>
      <c r="D35" s="710"/>
      <c r="E35" s="711" t="s">
        <v>682</v>
      </c>
      <c r="F35" s="710"/>
      <c r="G35" s="710"/>
      <c r="H35" s="710"/>
      <c r="I35" s="710"/>
      <c r="J35" s="657"/>
      <c r="K35" s="659"/>
      <c r="M35" s="2082" t="s">
        <v>683</v>
      </c>
      <c r="N35" s="2082"/>
      <c r="O35" s="2083" t="s">
        <v>684</v>
      </c>
      <c r="P35" s="2083"/>
      <c r="Q35" s="2084" t="s">
        <v>685</v>
      </c>
      <c r="R35" s="2084"/>
      <c r="S35" s="2085" t="s">
        <v>686</v>
      </c>
      <c r="T35" s="2085"/>
      <c r="U35" s="202"/>
      <c r="V35" s="379" t="s">
        <v>687</v>
      </c>
      <c r="W35" s="413" t="s">
        <v>688</v>
      </c>
      <c r="X35" s="253"/>
      <c r="Y35" s="253"/>
      <c r="Z35" s="2086">
        <v>1</v>
      </c>
      <c r="AA35" s="2086"/>
      <c r="AB35" s="2073">
        <f xml:space="preserve"> $Z35 * AB$30 * X24</f>
        <v>99323.529411764714</v>
      </c>
      <c r="AC35" s="2073"/>
      <c r="AD35" s="2073">
        <f xml:space="preserve"> $Z35 * AD$30 * Z24</f>
        <v>118235.29411764706</v>
      </c>
      <c r="AE35" s="2073"/>
      <c r="AF35" s="2073">
        <f xml:space="preserve"> $Z35 * AF$30 * AB24</f>
        <v>48070.588235294119</v>
      </c>
      <c r="AG35" s="2073"/>
      <c r="AH35" s="2073">
        <f xml:space="preserve"> $Z35 * AH$30 * AD24</f>
        <v>25808.823529411762</v>
      </c>
      <c r="AI35" s="2074"/>
      <c r="AJ35" s="203" t="s">
        <v>689</v>
      </c>
      <c r="AQ35" s="380" t="s">
        <v>690</v>
      </c>
      <c r="AR35" s="336"/>
      <c r="AS35" s="336"/>
      <c r="AT35" s="336"/>
      <c r="AU35" s="336"/>
      <c r="AV35" s="336"/>
      <c r="AW35" s="336"/>
      <c r="AX35" s="336"/>
      <c r="AY35" s="336"/>
      <c r="AZ35" s="336"/>
      <c r="BA35" s="336"/>
      <c r="BB35" s="2075">
        <f>AT33+AZ33+BF33+BL33</f>
        <v>437157.35294117656</v>
      </c>
      <c r="BC35" s="2076"/>
      <c r="BD35" s="2076"/>
      <c r="BE35" s="2076"/>
      <c r="BF35" s="336"/>
      <c r="BG35" s="336"/>
      <c r="BH35" s="336"/>
      <c r="BI35" s="336"/>
      <c r="BJ35" s="336"/>
      <c r="BK35" s="336"/>
      <c r="BL35" s="336"/>
      <c r="BM35" s="336"/>
      <c r="BN35" s="336"/>
      <c r="BO35" s="712"/>
      <c r="BQ35" s="655"/>
      <c r="BR35" s="201" t="s">
        <v>691</v>
      </c>
      <c r="BS35" s="201"/>
      <c r="BT35" s="2077">
        <f>AB36</f>
        <v>148985.29411764708</v>
      </c>
      <c r="BU35" s="2078"/>
      <c r="BV35" s="2078"/>
      <c r="BW35" s="2079"/>
      <c r="BX35" s="642"/>
      <c r="BY35" s="655"/>
      <c r="BZ35" s="201" t="s">
        <v>691</v>
      </c>
      <c r="CA35" s="201"/>
      <c r="CB35" s="2077">
        <f>AD36</f>
        <v>177352.9411764706</v>
      </c>
      <c r="CC35" s="2078"/>
      <c r="CD35" s="2078"/>
      <c r="CE35" s="2079"/>
      <c r="CF35" s="642"/>
      <c r="CG35" s="655"/>
      <c r="CH35" s="201" t="s">
        <v>691</v>
      </c>
      <c r="CI35" s="201"/>
      <c r="CJ35" s="2077">
        <f>AF36</f>
        <v>72105.882352941175</v>
      </c>
      <c r="CK35" s="2078"/>
      <c r="CL35" s="2078"/>
      <c r="CM35" s="2079"/>
      <c r="CN35" s="642"/>
      <c r="CO35" s="655"/>
      <c r="CP35" s="201" t="s">
        <v>691</v>
      </c>
      <c r="CQ35" s="201"/>
      <c r="CR35" s="2077">
        <f>AH36</f>
        <v>38713.235294117643</v>
      </c>
      <c r="CS35" s="2078"/>
      <c r="CT35" s="2078"/>
      <c r="CU35" s="2079"/>
      <c r="CV35" s="642"/>
      <c r="CY35" s="465">
        <v>23</v>
      </c>
      <c r="CZ35" s="466">
        <v>22</v>
      </c>
      <c r="DA35" s="467" t="s">
        <v>692</v>
      </c>
      <c r="DB35" s="468">
        <v>95</v>
      </c>
      <c r="DC35" s="466">
        <v>60</v>
      </c>
      <c r="DD35" s="470">
        <v>30</v>
      </c>
      <c r="DE35" s="573">
        <v>10</v>
      </c>
      <c r="DF35" s="574">
        <v>30</v>
      </c>
      <c r="DG35" s="473">
        <f t="shared" si="0"/>
        <v>95</v>
      </c>
      <c r="DH35" s="470">
        <v>5</v>
      </c>
      <c r="DI35" s="468">
        <v>5</v>
      </c>
      <c r="DJ35" s="468">
        <v>0</v>
      </c>
      <c r="DK35" s="468">
        <v>0</v>
      </c>
      <c r="DL35" s="468">
        <v>0</v>
      </c>
      <c r="DM35" s="468">
        <v>0</v>
      </c>
      <c r="DN35" s="471">
        <v>100</v>
      </c>
      <c r="DO35" s="472">
        <v>75</v>
      </c>
      <c r="DP35" s="468">
        <v>100</v>
      </c>
      <c r="DQ35" s="474">
        <v>70</v>
      </c>
    </row>
    <row r="36" spans="1:121" ht="21" customHeight="1" thickBot="1">
      <c r="A36" s="202"/>
      <c r="B36" s="203"/>
      <c r="C36" s="713"/>
      <c r="D36" s="203"/>
      <c r="E36" s="203"/>
      <c r="F36" s="203"/>
      <c r="G36" s="203"/>
      <c r="H36" s="203"/>
      <c r="I36" s="203"/>
      <c r="J36" s="713"/>
      <c r="K36" s="203"/>
      <c r="M36" s="714" t="s">
        <v>693</v>
      </c>
      <c r="N36" s="715"/>
      <c r="O36" s="716"/>
      <c r="P36" s="716"/>
      <c r="Q36" s="716"/>
      <c r="R36" s="716"/>
      <c r="S36" s="715"/>
      <c r="T36" s="717"/>
      <c r="U36" s="202"/>
      <c r="V36" s="379" t="s">
        <v>694</v>
      </c>
      <c r="W36" s="637" t="s">
        <v>695</v>
      </c>
      <c r="X36" s="271"/>
      <c r="Y36" s="271"/>
      <c r="Z36" s="2068">
        <v>1</v>
      </c>
      <c r="AA36" s="2068"/>
      <c r="AB36" s="2069">
        <f xml:space="preserve"> $Z36 * AB$30 * X25</f>
        <v>148985.29411764708</v>
      </c>
      <c r="AC36" s="2069"/>
      <c r="AD36" s="2069">
        <f xml:space="preserve"> $Z36 * AD$30 * Z25</f>
        <v>177352.9411764706</v>
      </c>
      <c r="AE36" s="2069"/>
      <c r="AF36" s="2069">
        <f xml:space="preserve"> $Z36 * AF$30 * AB25</f>
        <v>72105.882352941175</v>
      </c>
      <c r="AG36" s="2069"/>
      <c r="AH36" s="2069">
        <f xml:space="preserve"> $Z36 * AH$30 * AD25</f>
        <v>38713.235294117643</v>
      </c>
      <c r="AI36" s="2070"/>
      <c r="AJ36" s="203" t="s">
        <v>696</v>
      </c>
      <c r="AQ36" s="637" t="s">
        <v>697</v>
      </c>
      <c r="AR36" s="268"/>
      <c r="AS36" s="268"/>
      <c r="AT36" s="268"/>
      <c r="AU36" s="268"/>
      <c r="AV36" s="268"/>
      <c r="AW36" s="268"/>
      <c r="AX36" s="268"/>
      <c r="AY36" s="268"/>
      <c r="AZ36" s="268"/>
      <c r="BA36" s="268"/>
      <c r="BB36" s="2071">
        <f>SUM(AT34:BN34)+SUM(BU27:BW33)+SUM(CC27:CE33)+SUM(CK27:CM33)+SUM(CS27:CU33)</f>
        <v>346400</v>
      </c>
      <c r="BC36" s="2072"/>
      <c r="BD36" s="2072"/>
      <c r="BE36" s="2072"/>
      <c r="BF36" s="271" t="s">
        <v>698</v>
      </c>
      <c r="BG36" s="268"/>
      <c r="BH36" s="268"/>
      <c r="BI36" s="268"/>
      <c r="BJ36" s="268"/>
      <c r="BK36" s="268"/>
      <c r="BL36" s="268"/>
      <c r="BM36" s="2065">
        <f>BB35/BB36</f>
        <v>1.2620015962505098</v>
      </c>
      <c r="BN36" s="2065"/>
      <c r="BO36" s="718"/>
      <c r="BQ36" s="655"/>
      <c r="BR36" s="201" t="s">
        <v>699</v>
      </c>
      <c r="BS36" s="201"/>
      <c r="BT36" s="201"/>
      <c r="BU36" s="201"/>
      <c r="BV36" s="2066"/>
      <c r="BW36" s="2067"/>
      <c r="BX36" s="642"/>
      <c r="BY36" s="655"/>
      <c r="BZ36" s="201" t="s">
        <v>699</v>
      </c>
      <c r="CA36" s="201"/>
      <c r="CB36" s="201"/>
      <c r="CC36" s="201"/>
      <c r="CD36" s="2066"/>
      <c r="CE36" s="2067"/>
      <c r="CF36" s="642"/>
      <c r="CG36" s="655"/>
      <c r="CH36" s="201" t="s">
        <v>699</v>
      </c>
      <c r="CI36" s="201"/>
      <c r="CJ36" s="201"/>
      <c r="CK36" s="201"/>
      <c r="CL36" s="2066"/>
      <c r="CM36" s="2067"/>
      <c r="CN36" s="642"/>
      <c r="CO36" s="655"/>
      <c r="CP36" s="201" t="s">
        <v>699</v>
      </c>
      <c r="CQ36" s="201"/>
      <c r="CR36" s="201"/>
      <c r="CS36" s="201"/>
      <c r="CT36" s="2066"/>
      <c r="CU36" s="2067"/>
      <c r="CV36" s="642"/>
      <c r="CY36" s="719">
        <v>24</v>
      </c>
      <c r="CZ36" s="720">
        <v>23</v>
      </c>
      <c r="DA36" s="721" t="s">
        <v>700</v>
      </c>
      <c r="DB36" s="722">
        <v>95</v>
      </c>
      <c r="DC36" s="720">
        <v>5</v>
      </c>
      <c r="DD36" s="723">
        <v>30</v>
      </c>
      <c r="DE36" s="724">
        <v>5</v>
      </c>
      <c r="DF36" s="725">
        <v>5</v>
      </c>
      <c r="DG36" s="726">
        <f t="shared" si="0"/>
        <v>95</v>
      </c>
      <c r="DH36" s="723">
        <v>5</v>
      </c>
      <c r="DI36" s="722">
        <v>5</v>
      </c>
      <c r="DJ36" s="722">
        <v>0</v>
      </c>
      <c r="DK36" s="722">
        <v>0</v>
      </c>
      <c r="DL36" s="722">
        <v>0</v>
      </c>
      <c r="DM36" s="722">
        <v>0</v>
      </c>
      <c r="DN36" s="727">
        <v>100</v>
      </c>
      <c r="DO36" s="728">
        <v>75</v>
      </c>
      <c r="DP36" s="722">
        <v>100</v>
      </c>
      <c r="DQ36" s="729">
        <v>70</v>
      </c>
    </row>
  </sheetData>
  <mergeCells count="289">
    <mergeCell ref="CY4:CY8"/>
    <mergeCell ref="CZ4:CZ8"/>
    <mergeCell ref="DA4:DA8"/>
    <mergeCell ref="DB4:DB8"/>
    <mergeCell ref="BG5:BH5"/>
    <mergeCell ref="BM5:BN5"/>
    <mergeCell ref="BV5:BW5"/>
    <mergeCell ref="CD5:CE5"/>
    <mergeCell ref="P3:Q3"/>
    <mergeCell ref="U3:V3"/>
    <mergeCell ref="AA3:AB3"/>
    <mergeCell ref="P4:Q4"/>
    <mergeCell ref="U4:V4"/>
    <mergeCell ref="AA4:AB4"/>
    <mergeCell ref="CL5:CM5"/>
    <mergeCell ref="CT5:CU5"/>
    <mergeCell ref="P6:Q6"/>
    <mergeCell ref="U6:V6"/>
    <mergeCell ref="AA6:AB6"/>
    <mergeCell ref="AG6:AH6"/>
    <mergeCell ref="AM6:AN6"/>
    <mergeCell ref="AR6:AR9"/>
    <mergeCell ref="AT6:AT9"/>
    <mergeCell ref="AX6:AX9"/>
    <mergeCell ref="DO4:DO8"/>
    <mergeCell ref="DP4:DP8"/>
    <mergeCell ref="DQ4:DQ8"/>
    <mergeCell ref="P5:Q5"/>
    <mergeCell ref="U5:V5"/>
    <mergeCell ref="AA5:AB5"/>
    <mergeCell ref="AG5:AH5"/>
    <mergeCell ref="AM5:AN5"/>
    <mergeCell ref="AU5:AV5"/>
    <mergeCell ref="BA5:BB5"/>
    <mergeCell ref="DI4:DI8"/>
    <mergeCell ref="DJ4:DJ8"/>
    <mergeCell ref="DK4:DK8"/>
    <mergeCell ref="DL4:DL8"/>
    <mergeCell ref="DM4:DM8"/>
    <mergeCell ref="DN4:DN8"/>
    <mergeCell ref="DC4:DC8"/>
    <mergeCell ref="DD4:DD8"/>
    <mergeCell ref="DE4:DE8"/>
    <mergeCell ref="DF4:DF8"/>
    <mergeCell ref="DG4:DG8"/>
    <mergeCell ref="DH4:DH8"/>
    <mergeCell ref="AG4:AH4"/>
    <mergeCell ref="AM4:AN4"/>
    <mergeCell ref="BU6:BU9"/>
    <mergeCell ref="BW6:BW9"/>
    <mergeCell ref="BZ6:BZ9"/>
    <mergeCell ref="CA6:CA9"/>
    <mergeCell ref="AZ6:AZ9"/>
    <mergeCell ref="BD6:BD9"/>
    <mergeCell ref="BF6:BF9"/>
    <mergeCell ref="BJ6:BJ9"/>
    <mergeCell ref="BL6:BL9"/>
    <mergeCell ref="BR6:BR9"/>
    <mergeCell ref="CU6:CU9"/>
    <mergeCell ref="K7:L7"/>
    <mergeCell ref="U7:V7"/>
    <mergeCell ref="AA7:AB7"/>
    <mergeCell ref="AG7:AH7"/>
    <mergeCell ref="AM7:AN7"/>
    <mergeCell ref="S9:S10"/>
    <mergeCell ref="X9:Y9"/>
    <mergeCell ref="Z9:AA9"/>
    <mergeCell ref="AB9:AC9"/>
    <mergeCell ref="CK6:CK9"/>
    <mergeCell ref="CM6:CM9"/>
    <mergeCell ref="CP6:CP9"/>
    <mergeCell ref="CQ6:CQ9"/>
    <mergeCell ref="CR6:CR9"/>
    <mergeCell ref="CS6:CS9"/>
    <mergeCell ref="CB6:CB9"/>
    <mergeCell ref="CC6:CC9"/>
    <mergeCell ref="CE6:CE9"/>
    <mergeCell ref="CH6:CH9"/>
    <mergeCell ref="CI6:CI9"/>
    <mergeCell ref="CJ6:CJ9"/>
    <mergeCell ref="BS6:BS9"/>
    <mergeCell ref="BT6:BT9"/>
    <mergeCell ref="AF9:AF13"/>
    <mergeCell ref="X10:Y10"/>
    <mergeCell ref="Z10:AA10"/>
    <mergeCell ref="AB10:AC10"/>
    <mergeCell ref="AD10:AE10"/>
    <mergeCell ref="X11:Y11"/>
    <mergeCell ref="Z11:AA11"/>
    <mergeCell ref="AB11:AC11"/>
    <mergeCell ref="AD11:AE11"/>
    <mergeCell ref="X12:Y12"/>
    <mergeCell ref="Z12:AA12"/>
    <mergeCell ref="AB12:AC12"/>
    <mergeCell ref="AD12:AE12"/>
    <mergeCell ref="X13:Y13"/>
    <mergeCell ref="Z13:AA13"/>
    <mergeCell ref="AB13:AC13"/>
    <mergeCell ref="AD13:AE13"/>
    <mergeCell ref="AD9:AE9"/>
    <mergeCell ref="X14:Y14"/>
    <mergeCell ref="Z14:AA14"/>
    <mergeCell ref="AB14:AC14"/>
    <mergeCell ref="AD14:AE14"/>
    <mergeCell ref="G15:H15"/>
    <mergeCell ref="J15:L15"/>
    <mergeCell ref="X15:Y15"/>
    <mergeCell ref="Z15:AA15"/>
    <mergeCell ref="AB15:AC15"/>
    <mergeCell ref="AD15:AE15"/>
    <mergeCell ref="G17:H17"/>
    <mergeCell ref="J17:L17"/>
    <mergeCell ref="X17:Y17"/>
    <mergeCell ref="Z17:AA17"/>
    <mergeCell ref="AB17:AC17"/>
    <mergeCell ref="AD17:AE17"/>
    <mergeCell ref="F16:F19"/>
    <mergeCell ref="G16:H16"/>
    <mergeCell ref="J16:L16"/>
    <mergeCell ref="M16:M19"/>
    <mergeCell ref="X16:Y16"/>
    <mergeCell ref="Z16:AA16"/>
    <mergeCell ref="X18:Y18"/>
    <mergeCell ref="Z18:AA18"/>
    <mergeCell ref="AB18:AC18"/>
    <mergeCell ref="AD18:AE18"/>
    <mergeCell ref="K19:L20"/>
    <mergeCell ref="X19:Y19"/>
    <mergeCell ref="Z19:AA19"/>
    <mergeCell ref="AB19:AC19"/>
    <mergeCell ref="AD19:AE19"/>
    <mergeCell ref="AB16:AC16"/>
    <mergeCell ref="AD16:AE16"/>
    <mergeCell ref="G20:H20"/>
    <mergeCell ref="X20:Y20"/>
    <mergeCell ref="Z20:AA20"/>
    <mergeCell ref="AB20:AC20"/>
    <mergeCell ref="AD20:AE20"/>
    <mergeCell ref="X21:Y21"/>
    <mergeCell ref="Z21:AA21"/>
    <mergeCell ref="AB21:AC21"/>
    <mergeCell ref="AD21:AE21"/>
    <mergeCell ref="X24:Y24"/>
    <mergeCell ref="Z24:AA24"/>
    <mergeCell ref="AB24:AC24"/>
    <mergeCell ref="AD24:AE24"/>
    <mergeCell ref="X25:Y25"/>
    <mergeCell ref="Z25:AA25"/>
    <mergeCell ref="AB25:AC25"/>
    <mergeCell ref="AD25:AE25"/>
    <mergeCell ref="X22:Y22"/>
    <mergeCell ref="Z22:AA22"/>
    <mergeCell ref="AB22:AC22"/>
    <mergeCell ref="AD22:AE22"/>
    <mergeCell ref="X23:Y23"/>
    <mergeCell ref="Z23:AA23"/>
    <mergeCell ref="AB23:AC23"/>
    <mergeCell ref="AD23:AE23"/>
    <mergeCell ref="BG27:BH27"/>
    <mergeCell ref="BM27:BN27"/>
    <mergeCell ref="BU27:BW27"/>
    <mergeCell ref="CC27:CE27"/>
    <mergeCell ref="CK27:CM27"/>
    <mergeCell ref="CS27:CU27"/>
    <mergeCell ref="X26:Y26"/>
    <mergeCell ref="Z26:AA26"/>
    <mergeCell ref="AB26:AC26"/>
    <mergeCell ref="AD26:AE26"/>
    <mergeCell ref="AU27:AV27"/>
    <mergeCell ref="BA27:BB27"/>
    <mergeCell ref="CT28:CU28"/>
    <mergeCell ref="Z29:AA29"/>
    <mergeCell ref="AB29:AC29"/>
    <mergeCell ref="AD29:AE29"/>
    <mergeCell ref="AF29:AG29"/>
    <mergeCell ref="AH29:AI29"/>
    <mergeCell ref="AU29:AV29"/>
    <mergeCell ref="BA29:BB29"/>
    <mergeCell ref="BG29:BH29"/>
    <mergeCell ref="BM29:BN29"/>
    <mergeCell ref="AZ28:BB28"/>
    <mergeCell ref="BF28:BH28"/>
    <mergeCell ref="BL28:BN28"/>
    <mergeCell ref="BV28:BW28"/>
    <mergeCell ref="CD28:CE28"/>
    <mergeCell ref="CL28:CM28"/>
    <mergeCell ref="AB28:AC28"/>
    <mergeCell ref="AD28:AE28"/>
    <mergeCell ref="AF28:AG28"/>
    <mergeCell ref="AH28:AI28"/>
    <mergeCell ref="AT28:AV28"/>
    <mergeCell ref="BU29:BW29"/>
    <mergeCell ref="CC29:CE29"/>
    <mergeCell ref="CK29:CM29"/>
    <mergeCell ref="CS29:CU29"/>
    <mergeCell ref="C30:C33"/>
    <mergeCell ref="J30:J33"/>
    <mergeCell ref="Z30:AA30"/>
    <mergeCell ref="AB30:AC30"/>
    <mergeCell ref="AD30:AE30"/>
    <mergeCell ref="AF30:AG30"/>
    <mergeCell ref="V28:V29"/>
    <mergeCell ref="Z31:AA31"/>
    <mergeCell ref="AB31:AC31"/>
    <mergeCell ref="AD31:AE31"/>
    <mergeCell ref="AF31:AG31"/>
    <mergeCell ref="AH31:AI31"/>
    <mergeCell ref="AT31:AV31"/>
    <mergeCell ref="AZ31:BB31"/>
    <mergeCell ref="AH30:AI30"/>
    <mergeCell ref="AU30:AV30"/>
    <mergeCell ref="BA30:BB30"/>
    <mergeCell ref="BF31:BH31"/>
    <mergeCell ref="BL31:BN31"/>
    <mergeCell ref="BU31:BW31"/>
    <mergeCell ref="CC31:CE31"/>
    <mergeCell ref="CK31:CM31"/>
    <mergeCell ref="CS31:CU31"/>
    <mergeCell ref="CD30:CE30"/>
    <mergeCell ref="CL30:CM30"/>
    <mergeCell ref="CT30:CU30"/>
    <mergeCell ref="BG30:BH30"/>
    <mergeCell ref="BM30:BN30"/>
    <mergeCell ref="BV30:BW30"/>
    <mergeCell ref="CT32:CU32"/>
    <mergeCell ref="Z33:AA33"/>
    <mergeCell ref="AB33:AC33"/>
    <mergeCell ref="AD33:AE33"/>
    <mergeCell ref="AF33:AG33"/>
    <mergeCell ref="AH33:AI33"/>
    <mergeCell ref="AT33:AV33"/>
    <mergeCell ref="AZ33:BB33"/>
    <mergeCell ref="BF33:BH33"/>
    <mergeCell ref="BL33:BN33"/>
    <mergeCell ref="BA32:BB32"/>
    <mergeCell ref="BG32:BH32"/>
    <mergeCell ref="BM32:BN32"/>
    <mergeCell ref="BV32:BW32"/>
    <mergeCell ref="CD32:CE32"/>
    <mergeCell ref="CL32:CM32"/>
    <mergeCell ref="Z32:AA32"/>
    <mergeCell ref="AB32:AC32"/>
    <mergeCell ref="AD32:AE32"/>
    <mergeCell ref="AF32:AG32"/>
    <mergeCell ref="AH32:AI32"/>
    <mergeCell ref="AU32:AV32"/>
    <mergeCell ref="BU33:BW33"/>
    <mergeCell ref="CC33:CE33"/>
    <mergeCell ref="CK33:CM33"/>
    <mergeCell ref="CS33:CU33"/>
    <mergeCell ref="S34:T34"/>
    <mergeCell ref="Z34:AA34"/>
    <mergeCell ref="AB34:AC34"/>
    <mergeCell ref="AD34:AE34"/>
    <mergeCell ref="AF34:AG34"/>
    <mergeCell ref="AH34:AI34"/>
    <mergeCell ref="AH35:AI35"/>
    <mergeCell ref="BB35:BE35"/>
    <mergeCell ref="BT35:BW35"/>
    <mergeCell ref="CB35:CE35"/>
    <mergeCell ref="CJ35:CM35"/>
    <mergeCell ref="CR35:CU35"/>
    <mergeCell ref="CL34:CM34"/>
    <mergeCell ref="CT34:CU34"/>
    <mergeCell ref="M35:N35"/>
    <mergeCell ref="O35:P35"/>
    <mergeCell ref="Q35:R35"/>
    <mergeCell ref="S35:T35"/>
    <mergeCell ref="Z35:AA35"/>
    <mergeCell ref="AB35:AC35"/>
    <mergeCell ref="AD35:AE35"/>
    <mergeCell ref="AF35:AG35"/>
    <mergeCell ref="AT34:AV34"/>
    <mergeCell ref="AZ34:BB34"/>
    <mergeCell ref="BF34:BH34"/>
    <mergeCell ref="BL34:BN34"/>
    <mergeCell ref="BV34:BW34"/>
    <mergeCell ref="CD34:CE34"/>
    <mergeCell ref="BM36:BN36"/>
    <mergeCell ref="BV36:BW36"/>
    <mergeCell ref="CD36:CE36"/>
    <mergeCell ref="CL36:CM36"/>
    <mergeCell ref="CT36:CU36"/>
    <mergeCell ref="Z36:AA36"/>
    <mergeCell ref="AB36:AC36"/>
    <mergeCell ref="AD36:AE36"/>
    <mergeCell ref="AF36:AG36"/>
    <mergeCell ref="AH36:AI36"/>
    <mergeCell ref="BB36:BE36"/>
  </mergeCells>
  <pageMargins left="0.5" right="0.4" top="0.5" bottom="0.5" header="0.3" footer="0.3"/>
  <pageSetup scale="70" orientation="landscape" r:id="rId1"/>
  <headerFooter>
    <oddHeader>&amp;L&amp;14&amp;F&amp;R&amp;14&amp;A</oddHeader>
    <oddFooter>&amp;L&amp;14Varkie C. Thomas, Ph.D., P.E.&amp;C&amp;14College of Architecture&amp;R&amp;14Illinois Institute of Technology, Chicago</oddFooter>
  </headerFooter>
  <colBreaks count="1" manualBreakCount="1">
    <brk id="4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F48"/>
  <sheetViews>
    <sheetView zoomScale="55" zoomScaleNormal="55" workbookViewId="0">
      <selection activeCell="BP28" sqref="BP28"/>
    </sheetView>
  </sheetViews>
  <sheetFormatPr defaultColWidth="3.8984375" defaultRowHeight="21" customHeight="1"/>
  <cols>
    <col min="1" max="1" width="3.09765625" style="112" customWidth="1"/>
    <col min="2" max="28" width="3.8984375" style="110" customWidth="1"/>
    <col min="29" max="29" width="1.59765625" customWidth="1"/>
    <col min="30" max="30" width="4.69921875" style="140" customWidth="1"/>
    <col min="31" max="58" width="3.8984375" style="140"/>
  </cols>
  <sheetData>
    <row r="1" spans="1:58" s="1902" customFormat="1" ht="28.05" customHeight="1">
      <c r="A1" s="109" t="s">
        <v>153</v>
      </c>
      <c r="B1" s="1900"/>
      <c r="C1" s="1900"/>
      <c r="D1" s="1900"/>
      <c r="E1" s="1900"/>
      <c r="F1" s="1900"/>
      <c r="G1" s="1900"/>
      <c r="H1" s="1900"/>
      <c r="I1" s="1900"/>
      <c r="J1" s="1900"/>
      <c r="K1" s="1900"/>
      <c r="L1" s="1900"/>
      <c r="M1" s="1900"/>
      <c r="N1" s="1900"/>
      <c r="O1" s="1900"/>
      <c r="P1" s="1900"/>
      <c r="Q1" s="1900"/>
      <c r="R1" s="1900"/>
      <c r="T1" s="1900"/>
      <c r="U1" s="109" t="s">
        <v>154</v>
      </c>
      <c r="V1" s="1900"/>
      <c r="W1" s="1900"/>
      <c r="X1" s="1900"/>
      <c r="Y1" s="1900"/>
      <c r="Z1" s="1900"/>
      <c r="AA1" s="1901"/>
      <c r="AB1" s="1901"/>
      <c r="AE1" s="109" t="s">
        <v>153</v>
      </c>
      <c r="AF1" s="1904"/>
      <c r="AG1" s="1904"/>
      <c r="AH1" s="1904"/>
      <c r="AI1" s="1904"/>
      <c r="AJ1" s="1904"/>
      <c r="AK1" s="1904"/>
      <c r="AL1" s="1904"/>
      <c r="AM1" s="1904"/>
      <c r="AN1" s="1904"/>
      <c r="AO1" s="1904"/>
      <c r="AP1" s="1904"/>
      <c r="AQ1" s="1904"/>
      <c r="AR1" s="1904"/>
      <c r="AS1" s="1904"/>
      <c r="AT1" s="1903"/>
      <c r="AU1" s="1903"/>
      <c r="AV1" s="1903"/>
      <c r="AW1" s="1903"/>
      <c r="AX1" s="109" t="s">
        <v>154</v>
      </c>
      <c r="AY1" s="1903"/>
      <c r="AZ1" s="1903"/>
      <c r="BA1" s="1903"/>
      <c r="BB1" s="1903"/>
      <c r="BC1" s="1903"/>
      <c r="BD1" s="1903"/>
      <c r="BE1" s="1903"/>
      <c r="BF1" s="1903"/>
    </row>
    <row r="2" spans="1:58" ht="21" customHeight="1">
      <c r="B2" s="113" t="s">
        <v>155</v>
      </c>
    </row>
    <row r="3" spans="1:58" ht="21" customHeight="1">
      <c r="B3" s="114" t="s">
        <v>156</v>
      </c>
      <c r="C3" s="115"/>
      <c r="D3" s="115"/>
    </row>
    <row r="4" spans="1:58" ht="21" customHeight="1">
      <c r="B4" s="114" t="s">
        <v>157</v>
      </c>
      <c r="C4" s="115"/>
      <c r="D4" s="115"/>
    </row>
    <row r="5" spans="1:58" ht="21" customHeight="1">
      <c r="B5" s="114" t="s">
        <v>158</v>
      </c>
      <c r="C5" s="115"/>
      <c r="D5" s="115"/>
    </row>
    <row r="6" spans="1:58" ht="21" customHeight="1">
      <c r="A6" s="110"/>
      <c r="B6" s="114" t="s">
        <v>159</v>
      </c>
      <c r="C6" s="115"/>
      <c r="D6" s="115"/>
    </row>
    <row r="7" spans="1:58" ht="21" customHeight="1">
      <c r="A7" s="110"/>
      <c r="B7" s="114" t="s">
        <v>160</v>
      </c>
      <c r="C7" s="115"/>
      <c r="D7" s="115"/>
    </row>
    <row r="8" spans="1:58" ht="21" customHeight="1">
      <c r="A8" s="116"/>
      <c r="B8" s="117" t="s">
        <v>161</v>
      </c>
      <c r="C8" s="118"/>
      <c r="D8" s="118"/>
      <c r="E8" s="118"/>
      <c r="F8" s="118"/>
      <c r="G8" s="118"/>
      <c r="H8" s="119" t="s">
        <v>162</v>
      </c>
      <c r="J8" s="118"/>
      <c r="K8" s="118"/>
      <c r="L8" s="2264">
        <v>10</v>
      </c>
      <c r="M8" s="2265"/>
      <c r="N8" s="119" t="s">
        <v>163</v>
      </c>
      <c r="O8" s="111"/>
      <c r="Q8" s="2264">
        <v>13.5</v>
      </c>
      <c r="R8" s="2265"/>
      <c r="S8" s="119" t="s">
        <v>164</v>
      </c>
      <c r="T8" s="118"/>
      <c r="U8" s="118"/>
      <c r="V8" s="2264">
        <v>15</v>
      </c>
      <c r="W8" s="2265"/>
      <c r="X8" s="116" t="s">
        <v>165</v>
      </c>
      <c r="AA8" s="2264">
        <v>18</v>
      </c>
      <c r="AB8" s="2265"/>
    </row>
    <row r="9" spans="1:58" ht="21" customHeight="1" thickBot="1">
      <c r="A9" s="120"/>
      <c r="B9" s="121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</row>
    <row r="10" spans="1:58" ht="21" customHeight="1" thickTop="1">
      <c r="A10" s="1855" t="s">
        <v>166</v>
      </c>
      <c r="B10" s="1856"/>
      <c r="C10" s="115"/>
      <c r="D10" s="1855" t="s">
        <v>940</v>
      </c>
      <c r="E10" s="115"/>
      <c r="F10" s="115"/>
      <c r="G10" s="115"/>
      <c r="H10" s="115"/>
      <c r="I10" s="115"/>
      <c r="J10" s="115"/>
      <c r="K10" s="115"/>
      <c r="L10" s="1855" t="s">
        <v>167</v>
      </c>
      <c r="M10" s="115"/>
      <c r="N10" s="115"/>
      <c r="O10" s="1855" t="s">
        <v>941</v>
      </c>
      <c r="P10" s="115"/>
      <c r="Q10" s="115"/>
      <c r="R10" s="115"/>
      <c r="S10" s="115"/>
      <c r="T10" s="115"/>
      <c r="V10" s="111"/>
      <c r="W10" s="124"/>
      <c r="X10" s="125" t="s">
        <v>168</v>
      </c>
      <c r="Y10" s="126"/>
      <c r="Z10" s="127"/>
      <c r="AA10" s="127"/>
      <c r="AB10" s="128"/>
    </row>
    <row r="11" spans="1:58" ht="21" customHeight="1">
      <c r="A11" s="115"/>
      <c r="B11" s="1857" t="s">
        <v>942</v>
      </c>
      <c r="C11" s="1858"/>
      <c r="D11" s="1856"/>
      <c r="E11" s="115"/>
      <c r="F11" s="115"/>
      <c r="G11" s="115"/>
      <c r="H11" s="115"/>
      <c r="I11" s="115"/>
      <c r="J11" s="115"/>
      <c r="K11" s="115"/>
      <c r="L11" s="115"/>
      <c r="M11" s="1855" t="s">
        <v>943</v>
      </c>
      <c r="N11" s="1856"/>
      <c r="O11" s="115"/>
      <c r="P11" s="115"/>
      <c r="Q11" s="1856"/>
      <c r="R11" s="115"/>
      <c r="S11" s="115"/>
      <c r="T11" s="115"/>
      <c r="U11" s="123"/>
      <c r="V11" s="118"/>
      <c r="Y11" s="2266">
        <v>101.325</v>
      </c>
      <c r="Z11" s="2267"/>
      <c r="AA11" s="112" t="s">
        <v>169</v>
      </c>
      <c r="BE11" s="1886"/>
    </row>
    <row r="12" spans="1:58" ht="21" customHeight="1">
      <c r="A12" s="114"/>
      <c r="B12" s="1859" t="s">
        <v>944</v>
      </c>
      <c r="C12" s="1858"/>
      <c r="D12" s="1858"/>
      <c r="E12" s="115"/>
      <c r="F12" s="115"/>
      <c r="G12" s="115"/>
      <c r="H12" s="115"/>
      <c r="I12" s="115"/>
      <c r="J12" s="115"/>
      <c r="K12" s="115"/>
      <c r="L12" s="115"/>
      <c r="M12" s="1857" t="s">
        <v>945</v>
      </c>
      <c r="N12" s="1856"/>
      <c r="O12" s="115"/>
      <c r="P12" s="115"/>
      <c r="Q12" s="1856"/>
      <c r="R12" s="115"/>
      <c r="S12" s="115"/>
      <c r="T12" s="115"/>
      <c r="U12" s="123"/>
      <c r="V12" s="118"/>
      <c r="Y12" s="2279">
        <v>29.92</v>
      </c>
      <c r="Z12" s="2280"/>
      <c r="AA12" s="112" t="s">
        <v>14</v>
      </c>
    </row>
    <row r="13" spans="1:58" ht="21" customHeight="1">
      <c r="A13" s="114"/>
      <c r="B13" s="1859" t="s">
        <v>946</v>
      </c>
      <c r="C13" s="1860"/>
      <c r="D13" s="1860"/>
      <c r="E13" s="115"/>
      <c r="F13" s="115"/>
      <c r="G13" s="115"/>
      <c r="H13" s="115"/>
      <c r="I13" s="115"/>
      <c r="J13" s="115"/>
      <c r="K13" s="115"/>
      <c r="L13" s="115"/>
      <c r="M13" s="1861" t="s">
        <v>947</v>
      </c>
      <c r="N13" s="1856"/>
      <c r="O13" s="115"/>
      <c r="P13" s="115"/>
      <c r="Q13" s="1856"/>
      <c r="R13" s="115"/>
      <c r="S13" s="115"/>
      <c r="T13" s="1862"/>
      <c r="U13" s="123"/>
      <c r="V13" s="118"/>
      <c r="Y13" s="2268">
        <v>14.696</v>
      </c>
      <c r="Z13" s="2269"/>
      <c r="AA13" s="112" t="s">
        <v>55</v>
      </c>
    </row>
    <row r="14" spans="1:58" ht="21" customHeight="1" thickBot="1">
      <c r="A14" s="1863"/>
      <c r="B14" s="1864"/>
      <c r="C14" s="1864"/>
      <c r="D14" s="1864"/>
      <c r="E14" s="1864"/>
      <c r="F14" s="1864"/>
      <c r="G14" s="1865"/>
      <c r="H14" s="1864"/>
      <c r="I14" s="1864"/>
      <c r="J14" s="1864"/>
      <c r="K14" s="1866" t="s">
        <v>172</v>
      </c>
      <c r="L14" s="1864"/>
      <c r="M14" s="1864"/>
      <c r="N14" s="1864"/>
      <c r="O14" s="1864"/>
      <c r="P14" s="1867" t="s">
        <v>173</v>
      </c>
      <c r="Q14" s="1864"/>
      <c r="R14" s="1864"/>
      <c r="S14" s="1864"/>
      <c r="T14" s="1864"/>
      <c r="U14" s="121"/>
      <c r="V14" s="121"/>
      <c r="W14" s="122"/>
      <c r="X14" s="122"/>
      <c r="Y14" s="2270">
        <f>$Y$13*27.7070465550844</f>
        <v>407.18275617352032</v>
      </c>
      <c r="Z14" s="2271"/>
      <c r="AA14" s="129" t="s">
        <v>174</v>
      </c>
      <c r="AB14" s="122"/>
      <c r="AE14" s="1886" t="s">
        <v>170</v>
      </c>
      <c r="AF14" s="1886"/>
      <c r="AG14" s="1886"/>
      <c r="AH14" s="1886"/>
      <c r="AI14" s="1886"/>
      <c r="AJ14" s="1886"/>
      <c r="AK14" s="1886"/>
      <c r="AL14" s="1886"/>
      <c r="AM14" s="1886"/>
      <c r="AN14" s="1886"/>
      <c r="AO14" s="1886"/>
      <c r="AP14" s="1886"/>
      <c r="AQ14" s="1886"/>
      <c r="AR14" s="1886"/>
      <c r="AS14" s="1886"/>
      <c r="AT14" s="1886"/>
      <c r="AU14" s="1886"/>
      <c r="AV14" s="1886"/>
      <c r="AW14" s="1886"/>
      <c r="AX14" s="1886"/>
      <c r="AY14" s="1886"/>
      <c r="AZ14" s="1886"/>
      <c r="BA14" s="1886"/>
      <c r="BB14" s="1886"/>
      <c r="BC14" s="1886"/>
      <c r="BD14" s="1886"/>
      <c r="BE14" s="1886"/>
    </row>
    <row r="15" spans="1:58" ht="21" customHeight="1" thickTop="1">
      <c r="A15" s="130" t="s">
        <v>176</v>
      </c>
      <c r="I15" s="131" t="s">
        <v>177</v>
      </c>
      <c r="K15" s="112"/>
      <c r="Q15" s="112"/>
      <c r="T15" s="132" t="s">
        <v>176</v>
      </c>
      <c r="AE15" s="1886" t="s">
        <v>171</v>
      </c>
      <c r="AF15" s="1886"/>
      <c r="AG15" s="1886"/>
      <c r="AH15" s="1886"/>
      <c r="AI15" s="1886"/>
      <c r="AJ15" s="1886"/>
      <c r="AK15" s="1886"/>
      <c r="AL15" s="1886"/>
      <c r="AM15" s="1886"/>
      <c r="AN15" s="1886"/>
      <c r="AO15" s="1886"/>
      <c r="AP15" s="1886"/>
      <c r="AQ15" s="1886"/>
      <c r="AR15" s="1886"/>
      <c r="AS15" s="1886"/>
      <c r="AT15" s="1886"/>
      <c r="AU15" s="1886"/>
      <c r="AV15" s="1886"/>
      <c r="AW15" s="1886"/>
      <c r="AX15" s="1886"/>
      <c r="AY15" s="1886"/>
      <c r="AZ15" s="1886"/>
      <c r="BA15" s="1886"/>
      <c r="BB15" s="1886"/>
      <c r="BC15" s="1886"/>
      <c r="BD15" s="1886"/>
      <c r="BE15" s="1886"/>
    </row>
    <row r="16" spans="1:58" ht="21" customHeight="1">
      <c r="B16" s="133" t="s">
        <v>179</v>
      </c>
      <c r="C16" s="134"/>
      <c r="D16" s="134"/>
      <c r="E16" s="134"/>
      <c r="F16" s="134"/>
      <c r="G16" s="134"/>
      <c r="H16" s="135"/>
      <c r="I16" s="135"/>
      <c r="J16" s="135"/>
      <c r="K16" s="135"/>
      <c r="L16" s="135"/>
      <c r="M16" s="136"/>
      <c r="N16" s="84"/>
      <c r="P16"/>
      <c r="Y16" s="137" t="s">
        <v>180</v>
      </c>
      <c r="Z16" s="138"/>
      <c r="AA16" s="138"/>
      <c r="AB16" s="139"/>
      <c r="AE16" s="1887" t="s">
        <v>175</v>
      </c>
      <c r="AF16" s="1886"/>
      <c r="AG16" s="1886"/>
      <c r="AH16" s="1886"/>
      <c r="AI16" s="1886"/>
      <c r="AJ16" s="1886"/>
      <c r="AK16" s="1886"/>
      <c r="AL16" s="1886"/>
      <c r="AM16" s="1886"/>
      <c r="AN16" s="1886"/>
      <c r="AO16" s="1886"/>
      <c r="AP16" s="1886"/>
      <c r="AQ16" s="1886"/>
      <c r="AR16" s="1886"/>
      <c r="AS16" s="1886"/>
      <c r="AT16" s="1886"/>
      <c r="AU16" s="1886"/>
      <c r="AV16" s="1886"/>
      <c r="AW16" s="1886"/>
      <c r="AX16" s="1886"/>
      <c r="AY16" s="1886"/>
      <c r="AZ16" s="1886"/>
      <c r="BA16" s="1886"/>
      <c r="BB16" s="1886"/>
      <c r="BC16" s="1886"/>
      <c r="BD16" s="1886"/>
      <c r="BE16" s="1886"/>
    </row>
    <row r="17" spans="1:57" ht="21" customHeight="1">
      <c r="B17" s="110" t="s">
        <v>182</v>
      </c>
      <c r="D17" s="110" t="s">
        <v>183</v>
      </c>
      <c r="S17" s="2272" t="s">
        <v>184</v>
      </c>
      <c r="T17" s="2273"/>
      <c r="U17" s="2273"/>
      <c r="V17" s="2273"/>
      <c r="W17" s="2273"/>
      <c r="X17" s="2273"/>
      <c r="Y17" s="2273"/>
      <c r="Z17" s="2273"/>
      <c r="AA17" s="2273"/>
      <c r="AB17" s="2274"/>
      <c r="AE17" s="1887" t="s">
        <v>178</v>
      </c>
      <c r="AF17" s="1886"/>
      <c r="AG17" s="1886"/>
      <c r="AH17" s="1886"/>
      <c r="AI17" s="1886"/>
      <c r="AJ17" s="1886"/>
      <c r="AK17" s="1886"/>
      <c r="AL17" s="1886"/>
      <c r="AM17" s="1886"/>
      <c r="AN17" s="1886"/>
      <c r="AO17" s="1886"/>
      <c r="AP17" s="1886"/>
      <c r="AQ17" s="1886"/>
      <c r="AR17" s="1886"/>
      <c r="AS17" s="1886"/>
      <c r="AT17" s="1886"/>
      <c r="AU17" s="1886"/>
      <c r="AV17" s="1886"/>
      <c r="AW17" s="1886"/>
      <c r="AX17" s="1886"/>
      <c r="AY17" s="1886"/>
      <c r="AZ17" s="1886"/>
      <c r="BA17" s="1886"/>
      <c r="BB17" s="1886"/>
      <c r="BC17" s="1886"/>
      <c r="BD17" s="1886"/>
    </row>
    <row r="18" spans="1:57" ht="21" customHeight="1">
      <c r="B18" s="112" t="s">
        <v>186</v>
      </c>
      <c r="D18" s="110" t="s">
        <v>187</v>
      </c>
      <c r="O18" s="2281">
        <v>5.9800000000000001E-3</v>
      </c>
      <c r="P18" s="2282"/>
      <c r="Q18" s="2253"/>
      <c r="U18" s="111"/>
      <c r="V18" s="111"/>
      <c r="W18" s="2283" t="s">
        <v>188</v>
      </c>
      <c r="X18" s="2283"/>
      <c r="Y18" s="2261" t="s">
        <v>189</v>
      </c>
      <c r="Z18" s="2261"/>
      <c r="AA18" s="2261" t="s">
        <v>190</v>
      </c>
      <c r="AB18" s="2261"/>
      <c r="AE18" s="1886" t="s">
        <v>181</v>
      </c>
      <c r="AF18" s="1886"/>
      <c r="AG18" s="1886"/>
      <c r="AH18" s="1886"/>
      <c r="AI18" s="1886"/>
      <c r="AJ18" s="1886"/>
      <c r="AK18" s="1886"/>
      <c r="AL18" s="1886"/>
      <c r="AM18" s="1886"/>
      <c r="AN18" s="1886"/>
      <c r="AO18" s="1886"/>
      <c r="AP18" s="1886"/>
      <c r="AQ18" s="1886"/>
      <c r="AR18" s="1886"/>
      <c r="AS18" s="1886"/>
      <c r="AT18" s="1886"/>
      <c r="AU18" s="1886"/>
      <c r="AV18" s="1886"/>
      <c r="AW18" s="1886"/>
      <c r="AX18" s="1886"/>
      <c r="AY18" s="1886"/>
      <c r="AZ18" s="1886"/>
      <c r="BA18" s="1886"/>
      <c r="BB18" s="1886"/>
      <c r="BC18" s="1886"/>
      <c r="BD18" s="1886"/>
    </row>
    <row r="19" spans="1:57" ht="21" customHeight="1">
      <c r="B19" s="140" t="s">
        <v>191</v>
      </c>
      <c r="D19" s="110" t="s">
        <v>192</v>
      </c>
      <c r="P19" s="155"/>
      <c r="Q19" s="155"/>
      <c r="V19" s="111"/>
      <c r="W19" s="2256" t="s">
        <v>193</v>
      </c>
      <c r="X19" s="2256"/>
      <c r="Y19" s="2257">
        <v>1.8800000000000001E-2</v>
      </c>
      <c r="Z19" s="2257"/>
      <c r="AA19" s="2257">
        <v>3.4200000000000001E-2</v>
      </c>
      <c r="AB19" s="2257"/>
      <c r="AE19" s="1886" t="s">
        <v>185</v>
      </c>
      <c r="AF19" s="1886"/>
      <c r="AG19" s="1886"/>
      <c r="AH19" s="1886"/>
      <c r="AI19" s="1886"/>
      <c r="AJ19" s="1886"/>
      <c r="AK19" s="1886"/>
      <c r="AL19" s="1886"/>
      <c r="AM19" s="1886"/>
      <c r="AN19" s="1886"/>
      <c r="AO19" s="1886"/>
      <c r="AP19" s="1886"/>
      <c r="AQ19" s="1886"/>
      <c r="AR19" s="1886"/>
      <c r="AS19" s="1886"/>
      <c r="AT19" s="1886"/>
      <c r="AU19" s="1886"/>
      <c r="AV19" s="1886"/>
      <c r="AW19" s="1886"/>
      <c r="AX19" s="1886"/>
      <c r="AY19" s="1886"/>
      <c r="AZ19" s="1886"/>
      <c r="BA19" s="1886"/>
      <c r="BB19" s="1886"/>
      <c r="BC19" s="1886"/>
      <c r="BD19" s="1886"/>
    </row>
    <row r="20" spans="1:57" ht="21" customHeight="1" thickBot="1">
      <c r="B20" s="112" t="s">
        <v>195</v>
      </c>
      <c r="D20" s="110" t="s">
        <v>196</v>
      </c>
      <c r="J20" s="110" t="s">
        <v>197</v>
      </c>
      <c r="L20" s="2245">
        <v>32.200000000000003</v>
      </c>
      <c r="M20" s="2246"/>
      <c r="N20" s="141" t="s">
        <v>198</v>
      </c>
      <c r="P20" s="2262">
        <v>9.81</v>
      </c>
      <c r="Q20" s="2263"/>
      <c r="U20" s="111"/>
      <c r="V20" s="111"/>
      <c r="W20" s="2256" t="s">
        <v>199</v>
      </c>
      <c r="X20" s="2256"/>
      <c r="Y20" s="2257" t="s">
        <v>55</v>
      </c>
      <c r="Z20" s="2257"/>
      <c r="AA20" s="2257" t="s">
        <v>200</v>
      </c>
      <c r="AB20" s="2257"/>
    </row>
    <row r="21" spans="1:57" ht="21" customHeight="1">
      <c r="B21" s="112" t="s">
        <v>202</v>
      </c>
      <c r="D21" s="142" t="s">
        <v>203</v>
      </c>
      <c r="F21" s="142" t="s">
        <v>937</v>
      </c>
      <c r="I21" s="142" t="s">
        <v>938</v>
      </c>
      <c r="L21" s="1767"/>
      <c r="M21" s="1771"/>
      <c r="N21" s="143"/>
      <c r="O21" s="144"/>
      <c r="P21" s="143"/>
      <c r="Q21" s="143"/>
      <c r="R21" s="143"/>
      <c r="S21" s="143"/>
      <c r="T21" s="143"/>
      <c r="U21" s="143"/>
      <c r="V21" s="145"/>
      <c r="W21" s="2255" t="s">
        <v>205</v>
      </c>
      <c r="X21" s="2256"/>
      <c r="Y21" s="2257" t="s">
        <v>55</v>
      </c>
      <c r="Z21" s="2257"/>
      <c r="AA21" s="2257" t="s">
        <v>200</v>
      </c>
      <c r="AB21" s="2257"/>
      <c r="AE21" s="1886" t="s">
        <v>194</v>
      </c>
      <c r="AF21" s="1886"/>
      <c r="AG21" s="1886"/>
      <c r="AH21" s="1886"/>
      <c r="AI21" s="1886"/>
      <c r="AJ21" s="1886"/>
      <c r="AK21" s="1886"/>
      <c r="AL21" s="1886"/>
      <c r="AM21" s="1886"/>
      <c r="AN21" s="1886"/>
      <c r="AO21" s="1886"/>
      <c r="AP21" s="1886"/>
      <c r="AQ21" s="1886"/>
      <c r="AR21" s="1886"/>
      <c r="AS21" s="1886"/>
      <c r="AT21" s="1886"/>
      <c r="AU21" s="1886"/>
      <c r="AV21" s="1886"/>
      <c r="AW21" s="1886"/>
      <c r="AX21" s="1886"/>
      <c r="AY21" s="1886"/>
      <c r="AZ21" s="1886"/>
      <c r="BA21" s="1886"/>
      <c r="BB21" s="1886"/>
      <c r="BC21" s="1886"/>
      <c r="BD21" s="1886"/>
      <c r="BE21" s="1886"/>
    </row>
    <row r="22" spans="1:57" ht="21" customHeight="1" thickBot="1">
      <c r="B22" s="112" t="s">
        <v>207</v>
      </c>
      <c r="D22" s="142" t="s">
        <v>208</v>
      </c>
      <c r="F22" s="142" t="s">
        <v>204</v>
      </c>
      <c r="I22" s="142" t="s">
        <v>938</v>
      </c>
      <c r="L22" s="146"/>
      <c r="M22" s="1768"/>
      <c r="N22" s="1768"/>
      <c r="O22" s="1768"/>
      <c r="P22" s="1766"/>
      <c r="Q22" s="1766"/>
      <c r="R22" s="1766"/>
      <c r="S22" s="1766"/>
      <c r="T22" s="1766"/>
      <c r="U22" s="1766"/>
      <c r="V22" s="1773"/>
      <c r="W22" s="2258" t="s">
        <v>209</v>
      </c>
      <c r="X22" s="2255"/>
      <c r="Y22" s="2259" t="s">
        <v>210</v>
      </c>
      <c r="Z22" s="2260"/>
      <c r="AA22" s="2259" t="s">
        <v>211</v>
      </c>
      <c r="AB22" s="2260"/>
      <c r="AE22" s="1886" t="s">
        <v>201</v>
      </c>
      <c r="AF22" s="1886"/>
      <c r="AG22" s="1886"/>
      <c r="AH22" s="1886"/>
      <c r="AI22" s="1886"/>
      <c r="AJ22" s="1886"/>
      <c r="AK22" s="1886"/>
      <c r="AL22" s="1886"/>
      <c r="AM22" s="1886"/>
      <c r="AN22" s="1886"/>
      <c r="AO22" s="1886"/>
      <c r="AP22" s="1886"/>
      <c r="AQ22" s="1886"/>
      <c r="AR22" s="1886"/>
      <c r="AS22" s="1886"/>
      <c r="AT22" s="1886"/>
      <c r="AU22" s="1886"/>
      <c r="AV22" s="1886"/>
      <c r="AW22" s="1886"/>
      <c r="AX22" s="1886"/>
      <c r="AY22" s="1886"/>
      <c r="AZ22" s="1886"/>
      <c r="BA22" s="1886"/>
      <c r="BB22" s="1886"/>
      <c r="BC22" s="1886"/>
      <c r="BD22" s="1886"/>
      <c r="BE22" s="1886"/>
    </row>
    <row r="23" spans="1:57" ht="21" customHeight="1">
      <c r="B23" s="112" t="s">
        <v>214</v>
      </c>
      <c r="D23" s="110" t="s">
        <v>215</v>
      </c>
      <c r="P23" s="2275" t="s">
        <v>939</v>
      </c>
      <c r="Q23" s="2276"/>
      <c r="R23" s="2276"/>
      <c r="S23" s="2276"/>
      <c r="T23" s="2284">
        <f>O18*L20*0.073</f>
        <v>1.4056588000000002E-2</v>
      </c>
      <c r="U23" s="2284"/>
      <c r="V23" s="2285"/>
      <c r="W23" s="2258" t="s">
        <v>958</v>
      </c>
      <c r="X23" s="2255"/>
      <c r="Y23" s="2259" t="s">
        <v>216</v>
      </c>
      <c r="Z23" s="2260"/>
      <c r="AA23" s="2259" t="s">
        <v>217</v>
      </c>
      <c r="AB23" s="2260"/>
      <c r="AE23" s="1888"/>
      <c r="AF23" s="1889"/>
      <c r="AG23" s="1889"/>
      <c r="AH23" s="1889"/>
      <c r="AI23" s="1889"/>
      <c r="AJ23" s="1889"/>
      <c r="AK23" s="1889"/>
      <c r="AL23" s="1889"/>
      <c r="AM23" s="1889"/>
      <c r="AN23" s="1889"/>
      <c r="AO23" s="1889"/>
      <c r="AP23" s="1889"/>
      <c r="AQ23" s="1890"/>
      <c r="AR23" s="1884" t="s">
        <v>951</v>
      </c>
      <c r="AS23" s="1886"/>
      <c r="AT23" s="1891" t="s">
        <v>206</v>
      </c>
      <c r="AU23" s="1886"/>
      <c r="AV23" s="1886"/>
      <c r="AW23" s="1886"/>
      <c r="AX23" s="1886"/>
      <c r="AY23" s="1886"/>
      <c r="AZ23" s="1886"/>
      <c r="BA23" s="1886"/>
      <c r="BB23" s="1886"/>
      <c r="BC23" s="1886"/>
      <c r="BD23" s="1886"/>
      <c r="BE23" s="1886"/>
    </row>
    <row r="24" spans="1:57" ht="21" customHeight="1" thickBot="1">
      <c r="A24" s="129"/>
      <c r="B24" s="129" t="s">
        <v>220</v>
      </c>
      <c r="C24" s="122"/>
      <c r="D24" s="122" t="s">
        <v>221</v>
      </c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2277"/>
      <c r="Q24" s="2278"/>
      <c r="R24" s="2278"/>
      <c r="S24" s="2278"/>
      <c r="T24" s="2286"/>
      <c r="U24" s="2286"/>
      <c r="V24" s="2287"/>
      <c r="W24" s="122"/>
      <c r="X24" s="122"/>
      <c r="Y24" s="122"/>
      <c r="Z24" s="122"/>
      <c r="AA24" s="122"/>
      <c r="AB24" s="122"/>
      <c r="AE24" s="1892"/>
      <c r="AF24" s="1893"/>
      <c r="AG24" s="1893"/>
      <c r="AH24" s="1893"/>
      <c r="AI24" s="1893"/>
      <c r="AJ24" s="1893"/>
      <c r="AK24" s="1893"/>
      <c r="AL24" s="1893"/>
      <c r="AM24" s="1893"/>
      <c r="AN24" s="1893"/>
      <c r="AO24" s="1893"/>
      <c r="AP24" s="1893"/>
      <c r="AQ24" s="1894"/>
      <c r="AR24" s="1885" t="s">
        <v>212</v>
      </c>
      <c r="AS24" s="1886"/>
      <c r="AT24" s="1891" t="s">
        <v>213</v>
      </c>
      <c r="AU24" s="1886"/>
      <c r="AV24" s="1886"/>
      <c r="AW24" s="1886"/>
      <c r="AX24" s="1886"/>
      <c r="AY24" s="1886"/>
      <c r="AZ24" s="1886"/>
      <c r="BA24" s="1886"/>
      <c r="BB24" s="1886"/>
      <c r="BC24" s="1886"/>
      <c r="BD24" s="1886"/>
      <c r="BE24" s="1886"/>
    </row>
    <row r="25" spans="1:57" ht="21" customHeight="1" thickTop="1" thickBot="1">
      <c r="A25" s="149" t="s">
        <v>225</v>
      </c>
      <c r="B25" s="111"/>
      <c r="C25" s="111"/>
      <c r="D25" s="111"/>
      <c r="E25" s="111"/>
      <c r="F25" s="111" t="s">
        <v>226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E25" s="1895"/>
      <c r="AF25" s="1896"/>
      <c r="AG25" s="1896"/>
      <c r="AH25" s="1896"/>
      <c r="AI25" s="1896"/>
      <c r="AJ25" s="1896"/>
      <c r="AK25" s="1896"/>
      <c r="AL25" s="1896"/>
      <c r="AM25" s="1896"/>
      <c r="AN25" s="1896"/>
      <c r="AO25" s="1896"/>
      <c r="AP25" s="1896"/>
      <c r="AQ25" s="1897"/>
      <c r="AR25" s="1885" t="s">
        <v>218</v>
      </c>
      <c r="AS25" s="1886"/>
      <c r="AT25" s="1886"/>
      <c r="AU25" s="1891" t="s">
        <v>219</v>
      </c>
      <c r="AV25" s="1886"/>
      <c r="AW25" s="1886"/>
      <c r="AX25" s="1886"/>
      <c r="AY25" s="1886"/>
      <c r="AZ25" s="1886"/>
      <c r="BA25" s="1886"/>
      <c r="BB25" s="1886"/>
      <c r="BC25" s="1886"/>
      <c r="BD25" s="1886"/>
      <c r="BE25" s="1886"/>
    </row>
    <row r="26" spans="1:57" ht="21" customHeight="1">
      <c r="A26" s="150"/>
      <c r="B26" s="133" t="s">
        <v>229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767"/>
      <c r="M26" s="1770" t="s">
        <v>230</v>
      </c>
      <c r="N26" s="143"/>
      <c r="O26" s="143"/>
      <c r="P26" s="143"/>
      <c r="Q26" s="143"/>
      <c r="R26" s="143"/>
      <c r="S26" s="143"/>
      <c r="T26" s="143"/>
      <c r="U26" s="145"/>
      <c r="V26" s="1879" t="s">
        <v>231</v>
      </c>
      <c r="W26" s="1869"/>
      <c r="X26" s="1869"/>
      <c r="Y26" s="1869"/>
      <c r="Z26" s="1870"/>
      <c r="AA26" s="2238">
        <v>0.30480000000000002</v>
      </c>
      <c r="AB26" s="2238"/>
      <c r="AE26" s="1884" t="s">
        <v>952</v>
      </c>
      <c r="AF26" s="1886"/>
      <c r="AG26" s="1886"/>
      <c r="AH26" s="1891" t="s">
        <v>222</v>
      </c>
      <c r="AI26" s="1886"/>
      <c r="AJ26" s="1886"/>
      <c r="AK26" s="1886"/>
      <c r="AL26" s="1886"/>
      <c r="AM26" s="1886"/>
      <c r="AN26" s="1886"/>
      <c r="AO26" s="1886"/>
      <c r="AP26" s="1886"/>
      <c r="AQ26" s="1886"/>
      <c r="AR26" s="1885" t="s">
        <v>223</v>
      </c>
      <c r="AS26" s="1886"/>
      <c r="AT26" s="1891" t="s">
        <v>224</v>
      </c>
      <c r="AU26" s="1886"/>
      <c r="AV26" s="1886"/>
      <c r="AW26" s="1886"/>
      <c r="AX26" s="1886"/>
      <c r="AY26" s="1886"/>
      <c r="AZ26" s="1886"/>
      <c r="BA26" s="1886"/>
      <c r="BB26" s="1886"/>
      <c r="BC26" s="1886"/>
      <c r="BD26" s="1886"/>
      <c r="BE26" s="1886"/>
    </row>
    <row r="27" spans="1:57" ht="21" customHeight="1" thickBot="1">
      <c r="A27" s="150"/>
      <c r="B27" s="151" t="s">
        <v>232</v>
      </c>
      <c r="C27" s="111"/>
      <c r="D27" s="153" t="s">
        <v>936</v>
      </c>
      <c r="E27" s="111"/>
      <c r="F27" s="111"/>
      <c r="G27" s="111"/>
      <c r="H27" s="111"/>
      <c r="I27" s="111"/>
      <c r="J27" s="111"/>
      <c r="K27" s="111"/>
      <c r="L27" s="146"/>
      <c r="M27" s="1768"/>
      <c r="N27" s="1768"/>
      <c r="O27" s="1768"/>
      <c r="P27" s="1768"/>
      <c r="Q27" s="1768"/>
      <c r="R27" s="1768"/>
      <c r="S27" s="1768"/>
      <c r="T27" s="1768"/>
      <c r="U27" s="147"/>
      <c r="V27" s="1880" t="s">
        <v>233</v>
      </c>
      <c r="W27" s="832"/>
      <c r="X27" s="832"/>
      <c r="Y27" s="832"/>
      <c r="Z27" s="1872"/>
      <c r="AA27" s="2238">
        <v>16.018463529999998</v>
      </c>
      <c r="AB27" s="2238"/>
      <c r="AE27" s="1885" t="s">
        <v>227</v>
      </c>
      <c r="AF27" s="1886"/>
      <c r="AG27" s="1891" t="s">
        <v>228</v>
      </c>
      <c r="AH27" s="1886"/>
      <c r="AI27" s="1886"/>
      <c r="AJ27" s="1886"/>
      <c r="AK27" s="1886"/>
      <c r="AL27" s="1886"/>
      <c r="AM27" s="1886"/>
      <c r="AN27" s="1886"/>
      <c r="AO27" s="1886"/>
      <c r="AP27" s="1886"/>
      <c r="AQ27" s="1886"/>
      <c r="AR27" s="1886"/>
      <c r="AS27" s="1886"/>
      <c r="AT27" s="1886"/>
      <c r="AU27" s="1886"/>
      <c r="AV27" s="1886"/>
      <c r="AW27" s="1886"/>
      <c r="AX27" s="1886"/>
      <c r="AY27" s="1886"/>
      <c r="AZ27" s="1886"/>
      <c r="BA27" s="1886"/>
      <c r="BB27" s="1886"/>
      <c r="BC27" s="1886"/>
      <c r="BD27" s="1886"/>
      <c r="BE27" s="1886"/>
    </row>
    <row r="28" spans="1:57" ht="21" customHeight="1">
      <c r="A28" s="150"/>
      <c r="B28" s="150" t="s">
        <v>234</v>
      </c>
      <c r="C28" s="111"/>
      <c r="D28" s="111" t="s">
        <v>235</v>
      </c>
      <c r="E28" s="111"/>
      <c r="F28" s="111"/>
      <c r="G28" s="111"/>
      <c r="H28" s="111"/>
      <c r="I28" s="111"/>
      <c r="J28" s="111"/>
      <c r="K28" s="111"/>
      <c r="L28" s="111"/>
      <c r="M28" s="2251">
        <v>1.29E-2</v>
      </c>
      <c r="N28" s="2252"/>
      <c r="O28" s="111"/>
      <c r="R28" s="152"/>
      <c r="S28" s="111"/>
      <c r="V28" s="1871" t="s">
        <v>236</v>
      </c>
      <c r="W28" s="832"/>
      <c r="X28" s="832"/>
      <c r="Y28" s="832"/>
      <c r="Z28" s="1872"/>
      <c r="AA28" s="2229">
        <v>0.58857880228076398</v>
      </c>
      <c r="AB28" s="2230"/>
      <c r="AE28" s="1886" t="s">
        <v>949</v>
      </c>
      <c r="AF28" s="1886"/>
      <c r="AG28" s="1886"/>
      <c r="AH28" s="1886"/>
      <c r="AI28" s="1886"/>
      <c r="AJ28" s="1886"/>
      <c r="AK28" s="1886"/>
      <c r="AL28" s="1886"/>
      <c r="AM28" s="1886"/>
      <c r="AN28" s="1886"/>
      <c r="AO28" s="1886"/>
      <c r="AP28" s="1886"/>
      <c r="AQ28" s="1886"/>
      <c r="AR28" s="1886"/>
      <c r="AS28" s="1886"/>
      <c r="AT28" s="1886"/>
      <c r="AU28" s="1886"/>
      <c r="AV28" s="1886"/>
      <c r="AW28" s="1886"/>
      <c r="AX28" s="1886"/>
      <c r="AY28" s="1886" t="s">
        <v>950</v>
      </c>
      <c r="AZ28" s="1886"/>
      <c r="BA28" s="1886"/>
      <c r="BB28" s="1886"/>
      <c r="BC28" s="1886"/>
      <c r="BD28" s="1886"/>
      <c r="BE28" s="1886"/>
    </row>
    <row r="29" spans="1:57" ht="21" customHeight="1">
      <c r="B29" s="150" t="s">
        <v>237</v>
      </c>
      <c r="C29" s="111"/>
      <c r="D29" s="111" t="s">
        <v>238</v>
      </c>
      <c r="E29" s="111"/>
      <c r="F29" s="111"/>
      <c r="G29" s="111"/>
      <c r="H29" s="111"/>
      <c r="I29" s="111"/>
      <c r="J29" s="111"/>
      <c r="K29" s="111"/>
      <c r="L29" s="111"/>
      <c r="M29" s="2245">
        <v>0.65</v>
      </c>
      <c r="N29" s="2253"/>
      <c r="O29" s="111"/>
      <c r="Q29" s="111"/>
      <c r="R29" s="111"/>
      <c r="V29" s="1871" t="s">
        <v>239</v>
      </c>
      <c r="W29" s="832"/>
      <c r="X29" s="832"/>
      <c r="Y29" s="832"/>
      <c r="Z29" s="1872"/>
      <c r="AA29" s="2238">
        <v>1.609</v>
      </c>
      <c r="AB29" s="2238"/>
    </row>
    <row r="30" spans="1:57" ht="21" customHeight="1" thickBot="1">
      <c r="B30" s="150" t="s">
        <v>59</v>
      </c>
      <c r="C30" s="111"/>
      <c r="D30" s="111" t="s">
        <v>241</v>
      </c>
      <c r="E30" s="111"/>
      <c r="F30" s="111"/>
      <c r="G30" s="111"/>
      <c r="H30" s="111"/>
      <c r="I30" s="111"/>
      <c r="J30" s="111"/>
      <c r="K30" s="111"/>
      <c r="L30" s="2245">
        <v>0.4</v>
      </c>
      <c r="M30" s="2246"/>
      <c r="O30" s="148"/>
      <c r="P30" s="84"/>
      <c r="Q30" s="84"/>
      <c r="R30" s="84"/>
      <c r="S30" s="84"/>
      <c r="T30" s="84"/>
      <c r="U30" s="84"/>
      <c r="V30" s="1871" t="s">
        <v>242</v>
      </c>
      <c r="W30" s="832"/>
      <c r="X30" s="832"/>
      <c r="Y30" s="832"/>
      <c r="Z30" s="1872"/>
      <c r="AA30" s="2238">
        <v>4.0160999999999998</v>
      </c>
      <c r="AB30" s="2238"/>
      <c r="AE30" s="1886" t="s">
        <v>240</v>
      </c>
      <c r="AF30" s="1886"/>
      <c r="AG30" s="1886"/>
      <c r="AH30" s="1886"/>
      <c r="AI30" s="1886"/>
      <c r="AJ30" s="1886"/>
      <c r="AK30" s="1886"/>
      <c r="AL30" s="1886"/>
      <c r="AM30" s="1886"/>
      <c r="AN30" s="1886"/>
      <c r="AO30" s="1886"/>
      <c r="AP30" s="1886"/>
      <c r="AQ30" s="1886"/>
      <c r="AR30" s="1886"/>
      <c r="AS30" s="1886"/>
      <c r="AT30" s="1886"/>
      <c r="AU30" s="1886"/>
      <c r="AV30" s="1886"/>
      <c r="AW30" s="1886"/>
      <c r="AX30" s="1886"/>
      <c r="AY30" s="1886"/>
      <c r="AZ30" s="1886"/>
      <c r="BA30" s="1886"/>
      <c r="BB30" s="1886"/>
      <c r="BC30" s="1886"/>
      <c r="BD30" s="1886"/>
      <c r="BE30" s="1886"/>
    </row>
    <row r="31" spans="1:57" ht="21" customHeight="1">
      <c r="B31" s="150" t="s">
        <v>191</v>
      </c>
      <c r="C31" s="111"/>
      <c r="D31" s="153" t="s">
        <v>244</v>
      </c>
      <c r="E31" s="111"/>
      <c r="F31" s="111"/>
      <c r="G31" s="111"/>
      <c r="H31" s="111"/>
      <c r="I31" s="111"/>
      <c r="J31" s="111"/>
      <c r="K31" s="111"/>
      <c r="L31" s="1767"/>
      <c r="M31" s="143"/>
      <c r="N31" s="143"/>
      <c r="O31" s="143"/>
      <c r="P31" s="143"/>
      <c r="Q31" s="143"/>
      <c r="R31" s="143"/>
      <c r="S31" s="143"/>
      <c r="T31" s="143"/>
      <c r="U31" s="145"/>
      <c r="V31" s="1880" t="s">
        <v>245</v>
      </c>
      <c r="W31" s="832"/>
      <c r="X31" s="832"/>
      <c r="Y31" s="832"/>
      <c r="Z31" s="1872"/>
      <c r="AA31" s="2238">
        <f>1/V36</f>
        <v>0.29529980164712327</v>
      </c>
      <c r="AB31" s="2238"/>
      <c r="AE31" s="1886" t="s">
        <v>243</v>
      </c>
      <c r="AF31" s="1886"/>
      <c r="AG31" s="1886"/>
      <c r="AH31" s="1886"/>
      <c r="AI31" s="1886"/>
      <c r="AJ31" s="1886"/>
      <c r="AK31" s="1886"/>
      <c r="AL31" s="1886"/>
      <c r="AM31" s="1886"/>
      <c r="AN31" s="1886"/>
      <c r="AO31" s="1886"/>
      <c r="AP31" s="1886"/>
      <c r="AQ31" s="1886"/>
      <c r="AR31" s="1886"/>
      <c r="AS31" s="1886"/>
      <c r="AT31" s="1886"/>
      <c r="AU31" s="1886"/>
      <c r="AV31" s="1886"/>
      <c r="AW31" s="1886"/>
      <c r="AX31" s="1886"/>
      <c r="AY31" s="1886"/>
      <c r="AZ31" s="1886"/>
      <c r="BA31" s="1886"/>
      <c r="BB31" s="1886"/>
      <c r="BC31" s="1886"/>
      <c r="BD31" s="1886"/>
      <c r="BE31" s="1886"/>
    </row>
    <row r="32" spans="1:57" ht="21" customHeight="1" thickBot="1">
      <c r="B32" s="150" t="s">
        <v>247</v>
      </c>
      <c r="C32" s="111"/>
      <c r="D32" s="111" t="s">
        <v>248</v>
      </c>
      <c r="E32" s="111"/>
      <c r="F32" s="111"/>
      <c r="G32" s="111"/>
      <c r="H32" s="111"/>
      <c r="I32" s="111"/>
      <c r="J32" s="111"/>
      <c r="K32" s="111"/>
      <c r="L32" s="146"/>
      <c r="M32" s="1768"/>
      <c r="N32" s="1768"/>
      <c r="O32" s="1768"/>
      <c r="P32" s="1768"/>
      <c r="Q32" s="1768"/>
      <c r="R32" s="1768"/>
      <c r="S32" s="1768"/>
      <c r="T32" s="1768"/>
      <c r="U32" s="147"/>
      <c r="V32" s="1880" t="s">
        <v>249</v>
      </c>
      <c r="W32" s="832"/>
      <c r="X32" s="832"/>
      <c r="Y32" s="832"/>
      <c r="Z32" s="1872"/>
      <c r="AA32" s="2254">
        <v>0.145038</v>
      </c>
      <c r="AB32" s="2254"/>
      <c r="AE32" s="1888"/>
      <c r="AF32" s="1889"/>
      <c r="AG32" s="1889"/>
      <c r="AH32" s="1889"/>
      <c r="AI32" s="1889"/>
      <c r="AJ32" s="1889"/>
      <c r="AK32" s="1889"/>
      <c r="AL32" s="1889"/>
      <c r="AM32" s="1889"/>
      <c r="AN32" s="1889"/>
      <c r="AO32" s="1889"/>
      <c r="AP32" s="1889"/>
      <c r="AQ32" s="1889"/>
      <c r="AR32" s="1889"/>
      <c r="AS32" s="1889"/>
      <c r="AT32" s="1890"/>
      <c r="AU32" s="1885" t="s">
        <v>953</v>
      </c>
      <c r="AV32" s="1885"/>
      <c r="AW32" s="1886"/>
      <c r="AX32" s="1891" t="s">
        <v>246</v>
      </c>
      <c r="AY32" s="1886"/>
      <c r="AZ32" s="1886"/>
      <c r="BA32" s="1886"/>
      <c r="BB32" s="1886"/>
      <c r="BC32" s="1886"/>
      <c r="BD32" s="1886"/>
      <c r="BE32" s="1886"/>
    </row>
    <row r="33" spans="1:57" ht="21" customHeight="1" thickBot="1">
      <c r="A33" s="129"/>
      <c r="B33" s="129" t="s">
        <v>251</v>
      </c>
      <c r="C33" s="122"/>
      <c r="D33" s="122"/>
      <c r="E33" s="122"/>
      <c r="F33" s="122"/>
      <c r="G33" s="122"/>
      <c r="H33" s="122"/>
      <c r="I33" s="122"/>
      <c r="J33" s="2239">
        <v>0.02</v>
      </c>
      <c r="K33" s="2240"/>
      <c r="L33" s="154" t="s">
        <v>252</v>
      </c>
      <c r="M33" s="2241">
        <v>0.03</v>
      </c>
      <c r="N33" s="2242"/>
      <c r="O33" s="122"/>
      <c r="P33" s="122"/>
      <c r="Q33" s="122"/>
      <c r="R33" s="122"/>
      <c r="S33" s="122"/>
      <c r="T33" s="122"/>
      <c r="U33" s="122"/>
      <c r="V33" s="1881" t="s">
        <v>253</v>
      </c>
      <c r="W33" s="1882"/>
      <c r="X33" s="1882"/>
      <c r="Y33" s="1882"/>
      <c r="Z33" s="1883"/>
      <c r="AA33" s="2243">
        <v>9.2902999999999999E-2</v>
      </c>
      <c r="AB33" s="2244"/>
      <c r="AE33" s="1892"/>
      <c r="AF33" s="1893"/>
      <c r="AG33" s="1893"/>
      <c r="AH33" s="1893"/>
      <c r="AI33" s="1893"/>
      <c r="AJ33" s="1893"/>
      <c r="AK33" s="1893"/>
      <c r="AL33" s="1893"/>
      <c r="AM33" s="1893"/>
      <c r="AN33" s="1893"/>
      <c r="AO33" s="1893"/>
      <c r="AP33" s="1893"/>
      <c r="AQ33" s="1893"/>
      <c r="AR33" s="1893"/>
      <c r="AS33" s="1893"/>
      <c r="AT33" s="1894"/>
      <c r="AU33" s="1885" t="s">
        <v>250</v>
      </c>
      <c r="AV33" s="1885"/>
      <c r="AW33" s="1891" t="s">
        <v>954</v>
      </c>
      <c r="AX33" s="1886"/>
      <c r="AY33" s="1886"/>
      <c r="AZ33" s="1886"/>
      <c r="BA33" s="1886"/>
      <c r="BB33" s="1886"/>
      <c r="BC33" s="1886"/>
      <c r="BD33" s="1886"/>
      <c r="BE33" s="1886"/>
    </row>
    <row r="34" spans="1:57" ht="21" customHeight="1" thickTop="1">
      <c r="A34" s="132" t="s">
        <v>254</v>
      </c>
      <c r="K34" s="131" t="s">
        <v>255</v>
      </c>
      <c r="AE34" s="1895"/>
      <c r="AF34" s="1896"/>
      <c r="AG34" s="1896"/>
      <c r="AH34" s="1896"/>
      <c r="AI34" s="1896"/>
      <c r="AJ34" s="1896"/>
      <c r="AK34" s="1896"/>
      <c r="AL34" s="1896"/>
      <c r="AM34" s="1896"/>
      <c r="AN34" s="1896"/>
      <c r="AO34" s="1896"/>
      <c r="AP34" s="1896"/>
      <c r="AQ34" s="1896"/>
      <c r="AR34" s="1896"/>
      <c r="AS34" s="1896"/>
      <c r="AT34" s="1897"/>
      <c r="AU34" s="1885" t="s">
        <v>957</v>
      </c>
      <c r="AV34" s="1885"/>
      <c r="AW34" s="1886"/>
      <c r="AX34" s="1891" t="s">
        <v>219</v>
      </c>
      <c r="AY34" s="1886"/>
      <c r="AZ34" s="1886"/>
      <c r="BA34" s="1886"/>
      <c r="BB34" s="1886"/>
      <c r="BC34" s="1886"/>
      <c r="BD34" s="1886"/>
      <c r="BE34" s="1886"/>
    </row>
    <row r="35" spans="1:57" ht="21" customHeight="1" thickBot="1">
      <c r="B35" s="1772" t="s">
        <v>260</v>
      </c>
      <c r="C35" s="135"/>
      <c r="D35" s="135"/>
      <c r="E35" s="135"/>
      <c r="F35" s="135"/>
      <c r="G35" s="135"/>
      <c r="H35" s="136"/>
      <c r="J35" s="1774" t="s">
        <v>261</v>
      </c>
      <c r="K35" s="1775"/>
      <c r="L35" s="2245">
        <v>0.6</v>
      </c>
      <c r="M35" s="2246"/>
      <c r="S35" s="1868" t="s">
        <v>262</v>
      </c>
      <c r="T35" s="1869"/>
      <c r="U35" s="1870"/>
      <c r="V35" s="2247" t="s">
        <v>263</v>
      </c>
      <c r="W35" s="2248"/>
      <c r="X35" s="1868" t="s">
        <v>262</v>
      </c>
      <c r="Y35" s="1869"/>
      <c r="Z35" s="1870"/>
      <c r="AA35" s="2249" t="s">
        <v>264</v>
      </c>
      <c r="AB35" s="2250"/>
      <c r="AE35" s="1885" t="s">
        <v>256</v>
      </c>
      <c r="AF35" s="1885"/>
      <c r="AG35" s="1886"/>
      <c r="AH35" s="1886"/>
      <c r="AI35" s="1891" t="s">
        <v>257</v>
      </c>
      <c r="AJ35" s="1886"/>
      <c r="AK35" s="1886"/>
      <c r="AL35" s="1886"/>
      <c r="AM35" s="1886"/>
      <c r="AN35" s="1886"/>
      <c r="AO35" s="1886"/>
      <c r="AP35" s="1886"/>
      <c r="AQ35" s="1886"/>
      <c r="AR35" s="1886"/>
      <c r="AS35" s="1886"/>
      <c r="AT35" s="1886"/>
      <c r="AU35" s="1884" t="s">
        <v>258</v>
      </c>
      <c r="AV35" s="1885"/>
      <c r="AW35" s="1891" t="s">
        <v>259</v>
      </c>
      <c r="AX35" s="1886"/>
      <c r="AY35" s="1886"/>
      <c r="AZ35" s="1886"/>
      <c r="BA35" s="1886"/>
      <c r="BB35" s="1886"/>
      <c r="BC35" s="1886"/>
      <c r="BD35" s="1886"/>
      <c r="BE35" s="1886"/>
    </row>
    <row r="36" spans="1:57" ht="21" customHeight="1">
      <c r="B36" s="156" t="s">
        <v>267</v>
      </c>
      <c r="C36" s="157" t="s">
        <v>268</v>
      </c>
      <c r="K36" s="1767"/>
      <c r="L36" s="143"/>
      <c r="M36" s="143"/>
      <c r="N36" s="143"/>
      <c r="O36" s="143"/>
      <c r="P36" s="143"/>
      <c r="Q36" s="143"/>
      <c r="R36" s="143"/>
      <c r="S36" s="1871" t="s">
        <v>15</v>
      </c>
      <c r="T36" s="832"/>
      <c r="U36" s="1872"/>
      <c r="V36" s="2229">
        <v>3.3863889999999999</v>
      </c>
      <c r="W36" s="2230"/>
      <c r="X36" s="1871" t="s">
        <v>15</v>
      </c>
      <c r="Y36" s="832"/>
      <c r="Z36" s="1878"/>
      <c r="AA36" s="2229">
        <v>0.24884500000000001</v>
      </c>
      <c r="AB36" s="2230"/>
      <c r="AE36" s="1885" t="s">
        <v>265</v>
      </c>
      <c r="AF36" s="1885"/>
      <c r="AG36" s="1886"/>
      <c r="AH36" s="1886"/>
      <c r="AI36" s="1891" t="s">
        <v>266</v>
      </c>
      <c r="AJ36" s="1886"/>
      <c r="AK36" s="1886"/>
      <c r="AL36" s="1886"/>
      <c r="AM36" s="1886"/>
      <c r="AN36" s="1886"/>
      <c r="AO36" s="1886"/>
      <c r="AP36" s="1886"/>
      <c r="AQ36" s="1886"/>
      <c r="AR36" s="1886"/>
      <c r="AS36" s="1886"/>
      <c r="AT36" s="1886"/>
      <c r="AU36" s="1886"/>
      <c r="AV36" s="1886"/>
      <c r="AW36" s="1886"/>
      <c r="AX36" s="1886"/>
      <c r="AY36" s="1886"/>
      <c r="AZ36" s="1886"/>
      <c r="BA36" s="1886"/>
      <c r="BB36" s="1886"/>
      <c r="BC36" s="1886"/>
      <c r="BD36" s="1886"/>
      <c r="BE36" s="1886"/>
    </row>
    <row r="37" spans="1:57" ht="21" customHeight="1">
      <c r="B37" s="112" t="s">
        <v>62</v>
      </c>
      <c r="D37" s="142" t="s">
        <v>269</v>
      </c>
      <c r="K37" s="1765"/>
      <c r="L37" s="1769"/>
      <c r="M37" s="1766"/>
      <c r="N37" s="1766"/>
      <c r="O37" s="1766"/>
      <c r="P37" s="1766"/>
      <c r="Q37" s="1766"/>
      <c r="R37" s="1766"/>
      <c r="S37" s="1871" t="s">
        <v>948</v>
      </c>
      <c r="T37" s="832"/>
      <c r="U37" s="1872"/>
      <c r="V37" s="2229">
        <v>13.596</v>
      </c>
      <c r="W37" s="2230"/>
      <c r="X37" s="1871" t="s">
        <v>54</v>
      </c>
      <c r="Y37" s="832"/>
      <c r="Z37" s="1878"/>
      <c r="AA37" s="2229">
        <v>7.3684257279742205E-2</v>
      </c>
      <c r="AB37" s="2230"/>
      <c r="AE37" s="1886" t="s">
        <v>955</v>
      </c>
      <c r="AF37" s="1886"/>
      <c r="AG37" s="1886"/>
      <c r="AH37" s="1886"/>
      <c r="AI37" s="1886"/>
      <c r="AJ37" s="1886"/>
      <c r="AK37" s="1886"/>
      <c r="AL37" s="1886"/>
      <c r="AM37" s="1886"/>
      <c r="AN37" s="1886"/>
      <c r="AO37" s="1886"/>
      <c r="AP37" s="1886"/>
      <c r="AQ37" s="1886"/>
      <c r="AR37" s="1886"/>
      <c r="AS37" s="1886"/>
      <c r="AT37" s="1886"/>
      <c r="AU37" s="1886"/>
      <c r="AV37" s="1886"/>
      <c r="AW37" s="1886"/>
      <c r="AX37" s="1886"/>
      <c r="AY37" s="1886"/>
      <c r="AZ37" s="1886"/>
      <c r="BA37" s="1886"/>
      <c r="BB37" s="1886"/>
      <c r="BC37" s="1886"/>
      <c r="BD37" s="1886"/>
      <c r="BE37" s="1886"/>
    </row>
    <row r="38" spans="1:57" ht="21" customHeight="1" thickBot="1">
      <c r="B38" s="158" t="s">
        <v>114</v>
      </c>
      <c r="D38" s="110" t="s">
        <v>270</v>
      </c>
      <c r="K38" s="146"/>
      <c r="L38" s="1768"/>
      <c r="M38" s="1768"/>
      <c r="N38" s="1768"/>
      <c r="O38" s="1768"/>
      <c r="P38" s="1768"/>
      <c r="Q38" s="1768"/>
      <c r="R38" s="1768"/>
      <c r="S38" s="1873" t="s">
        <v>55</v>
      </c>
      <c r="T38" s="832"/>
      <c r="U38" s="1874"/>
      <c r="V38" s="2229">
        <v>0.49114999999999998</v>
      </c>
      <c r="W38" s="2230"/>
      <c r="X38" s="1873" t="s">
        <v>55</v>
      </c>
      <c r="Y38" s="832"/>
      <c r="Z38" s="1270"/>
      <c r="AA38" s="2229">
        <v>3.6091901676055402E-2</v>
      </c>
      <c r="AB38" s="2230"/>
      <c r="AE38" s="1886"/>
      <c r="AF38" s="1886"/>
      <c r="AG38" s="1886"/>
      <c r="AH38" s="1886"/>
      <c r="AI38" s="1886"/>
      <c r="AJ38" s="1886"/>
      <c r="AK38" s="1886"/>
      <c r="AL38" s="1886"/>
      <c r="AM38" s="1886"/>
      <c r="AN38" s="1886"/>
      <c r="AO38" s="1886"/>
      <c r="AP38" s="1886"/>
      <c r="AQ38" s="1886"/>
      <c r="AR38" s="1886"/>
      <c r="AS38" s="1886"/>
      <c r="AT38" s="1886"/>
      <c r="AU38" s="1886"/>
      <c r="AV38" s="1886"/>
      <c r="AW38" s="1886"/>
      <c r="AX38" s="1886"/>
      <c r="AY38" s="1886"/>
      <c r="AZ38" s="1886"/>
      <c r="BA38" s="1886"/>
      <c r="BB38" s="1886"/>
      <c r="BC38" s="1886"/>
      <c r="BD38" s="1886"/>
      <c r="BE38" s="1886"/>
    </row>
    <row r="39" spans="1:57" ht="21" customHeight="1">
      <c r="B39" s="158" t="s">
        <v>119</v>
      </c>
      <c r="D39" s="110" t="s">
        <v>271</v>
      </c>
      <c r="S39" s="1873" t="s">
        <v>272</v>
      </c>
      <c r="T39" s="832"/>
      <c r="U39" s="1874"/>
      <c r="V39" s="2229">
        <v>3.4531550000000001E-2</v>
      </c>
      <c r="W39" s="2230"/>
      <c r="X39" s="1873" t="s">
        <v>272</v>
      </c>
      <c r="Y39" s="832"/>
      <c r="Z39" s="1874"/>
      <c r="AA39" s="2238">
        <v>25.375</v>
      </c>
      <c r="AB39" s="2238"/>
      <c r="AE39" s="1886" t="s">
        <v>273</v>
      </c>
      <c r="AF39" s="1886"/>
      <c r="AG39" s="1886"/>
      <c r="AH39" s="1886"/>
      <c r="AI39" s="1886"/>
      <c r="AJ39" s="1886"/>
      <c r="AK39" s="1886"/>
      <c r="AL39" s="1886"/>
      <c r="AM39" s="1886"/>
      <c r="AN39" s="1886"/>
      <c r="AO39" s="1886"/>
      <c r="AP39" s="1886"/>
      <c r="AQ39" s="1886"/>
      <c r="AR39" s="1886"/>
      <c r="AS39" s="1886"/>
      <c r="AT39" s="1886"/>
      <c r="AU39" s="1886"/>
      <c r="AV39" s="1886"/>
      <c r="AW39" s="1886"/>
      <c r="AX39" s="1886"/>
      <c r="AY39" s="1886"/>
      <c r="AZ39" s="1886"/>
      <c r="BA39" s="1886"/>
      <c r="BB39" s="1886"/>
      <c r="BC39" s="1886"/>
      <c r="BD39" s="1886"/>
      <c r="BE39" s="1886"/>
    </row>
    <row r="40" spans="1:57" ht="21" customHeight="1">
      <c r="B40" s="158" t="s">
        <v>274</v>
      </c>
      <c r="D40" s="110" t="s">
        <v>275</v>
      </c>
      <c r="S40" s="1875" t="s">
        <v>276</v>
      </c>
      <c r="T40" s="1876"/>
      <c r="U40" s="1877"/>
      <c r="V40" s="2229">
        <v>25.4</v>
      </c>
      <c r="W40" s="2230"/>
      <c r="X40" s="1875" t="s">
        <v>276</v>
      </c>
      <c r="Y40" s="1876"/>
      <c r="Z40" s="1877"/>
      <c r="AA40" s="2231">
        <v>186.821</v>
      </c>
      <c r="AB40" s="2232"/>
      <c r="AE40" s="1888"/>
      <c r="AF40" s="1889"/>
      <c r="AG40" s="1889"/>
      <c r="AH40" s="1889"/>
      <c r="AI40" s="1889"/>
      <c r="AJ40" s="1889"/>
      <c r="AK40" s="1889"/>
      <c r="AL40" s="1889"/>
      <c r="AM40" s="1889"/>
      <c r="AN40" s="1889"/>
      <c r="AO40" s="1890"/>
      <c r="AP40" s="1898" t="s">
        <v>114</v>
      </c>
      <c r="AQ40" s="1886"/>
      <c r="AR40" s="1891" t="s">
        <v>277</v>
      </c>
      <c r="AS40" s="1886"/>
      <c r="AT40" s="1886"/>
      <c r="AU40" s="1886"/>
      <c r="AV40" s="1886"/>
      <c r="AW40" s="1886"/>
      <c r="AX40" s="1886"/>
      <c r="AY40" s="1886"/>
      <c r="AZ40" s="1886"/>
      <c r="BA40" s="1886"/>
      <c r="BB40" s="1886"/>
      <c r="BC40" s="1886"/>
      <c r="BD40" s="1886"/>
      <c r="BE40" s="1886"/>
    </row>
    <row r="41" spans="1:57" ht="21" customHeight="1">
      <c r="B41" s="158" t="s">
        <v>278</v>
      </c>
      <c r="D41" s="142" t="s">
        <v>279</v>
      </c>
      <c r="I41" s="159" t="s">
        <v>283</v>
      </c>
      <c r="P41" s="2233">
        <v>14.696</v>
      </c>
      <c r="Q41" s="2234"/>
      <c r="R41" s="116" t="s">
        <v>55</v>
      </c>
      <c r="T41" s="2235">
        <v>29.92</v>
      </c>
      <c r="U41" s="2236"/>
      <c r="V41" s="116" t="s">
        <v>14</v>
      </c>
      <c r="X41" s="2233">
        <f>$Y$13*27.7070465550844</f>
        <v>407.18275617352032</v>
      </c>
      <c r="Y41" s="2237"/>
      <c r="Z41" s="2234"/>
      <c r="AA41" s="1899" t="s">
        <v>959</v>
      </c>
      <c r="AB41" s="160"/>
      <c r="AE41" s="1892"/>
      <c r="AF41" s="1893"/>
      <c r="AG41" s="1893"/>
      <c r="AH41" s="1893"/>
      <c r="AI41" s="1893"/>
      <c r="AJ41" s="1893"/>
      <c r="AK41" s="1893"/>
      <c r="AL41" s="1893"/>
      <c r="AM41" s="1893"/>
      <c r="AN41" s="1893"/>
      <c r="AO41" s="1894"/>
      <c r="AP41" s="1884" t="s">
        <v>951</v>
      </c>
      <c r="AQ41" s="1886"/>
      <c r="AR41" s="1891" t="s">
        <v>280</v>
      </c>
      <c r="AS41" s="1886"/>
      <c r="AT41" s="1886"/>
      <c r="AU41" s="1886"/>
      <c r="AV41" s="1898" t="s">
        <v>281</v>
      </c>
      <c r="AW41" s="1886"/>
      <c r="AX41" s="1891" t="s">
        <v>282</v>
      </c>
      <c r="AZ41" s="1886"/>
      <c r="BA41" s="1886"/>
      <c r="BB41" s="1886"/>
      <c r="BC41" s="1886"/>
      <c r="BD41" s="1886"/>
      <c r="BE41" s="1886"/>
    </row>
    <row r="42" spans="1:57" ht="21" customHeight="1">
      <c r="A42" s="150"/>
      <c r="I42" s="161" t="s">
        <v>285</v>
      </c>
      <c r="Y42" s="2227">
        <v>3.5000000000000003E-2</v>
      </c>
      <c r="Z42" s="2228"/>
      <c r="AA42" s="119" t="s">
        <v>959</v>
      </c>
      <c r="AB42" s="111"/>
      <c r="AE42" s="1895"/>
      <c r="AF42" s="1896"/>
      <c r="AG42" s="1896"/>
      <c r="AH42" s="1896"/>
      <c r="AI42" s="1896"/>
      <c r="AJ42" s="1896"/>
      <c r="AK42" s="1896"/>
      <c r="AL42" s="1896"/>
      <c r="AM42" s="1896"/>
      <c r="AN42" s="1896"/>
      <c r="AO42" s="1897"/>
      <c r="AP42" s="1884" t="s">
        <v>956</v>
      </c>
      <c r="AQ42" s="1886"/>
      <c r="AR42" s="1886"/>
      <c r="AS42" s="1886"/>
      <c r="AT42" s="1891" t="s">
        <v>284</v>
      </c>
      <c r="AU42" s="1886"/>
      <c r="AV42" s="1886"/>
      <c r="AW42" s="1886"/>
      <c r="AX42" s="1886"/>
      <c r="AY42" s="1886"/>
      <c r="AZ42" s="1886"/>
      <c r="BA42" s="1886"/>
      <c r="BB42" s="1886"/>
      <c r="BC42" s="1886"/>
      <c r="BD42" s="1886"/>
      <c r="BE42" s="1886"/>
    </row>
    <row r="44" spans="1:57" ht="21" customHeight="1">
      <c r="A44" s="110"/>
    </row>
    <row r="45" spans="1:57" ht="21" customHeight="1">
      <c r="A45" s="111"/>
      <c r="B45" s="111"/>
      <c r="C45" s="111"/>
      <c r="D45" s="111"/>
      <c r="E45" s="111"/>
      <c r="F45" s="111"/>
      <c r="G45" s="111"/>
      <c r="H45" s="111"/>
    </row>
    <row r="46" spans="1:57" ht="21" customHeight="1">
      <c r="A46" s="110"/>
    </row>
    <row r="47" spans="1:57" ht="21" customHeight="1">
      <c r="A47" s="110"/>
    </row>
    <row r="48" spans="1:57" ht="21" customHeight="1">
      <c r="A48" s="110"/>
      <c r="T48" s="111"/>
      <c r="U48" s="111"/>
      <c r="V48" s="111"/>
      <c r="W48" s="111"/>
      <c r="X48" s="111"/>
      <c r="Y48" s="111"/>
    </row>
  </sheetData>
  <mergeCells count="62">
    <mergeCell ref="P23:S24"/>
    <mergeCell ref="Y12:Z12"/>
    <mergeCell ref="L8:M8"/>
    <mergeCell ref="Q8:R8"/>
    <mergeCell ref="V8:W8"/>
    <mergeCell ref="O18:Q18"/>
    <mergeCell ref="W18:X18"/>
    <mergeCell ref="Y18:Z18"/>
    <mergeCell ref="T23:V24"/>
    <mergeCell ref="AA8:AB8"/>
    <mergeCell ref="Y11:Z11"/>
    <mergeCell ref="Y13:Z13"/>
    <mergeCell ref="Y14:Z14"/>
    <mergeCell ref="S17:AB17"/>
    <mergeCell ref="AA18:AB18"/>
    <mergeCell ref="W19:X19"/>
    <mergeCell ref="Y19:Z19"/>
    <mergeCell ref="AA19:AB19"/>
    <mergeCell ref="L20:M20"/>
    <mergeCell ref="P20:Q20"/>
    <mergeCell ref="W20:X20"/>
    <mergeCell ref="Y20:Z20"/>
    <mergeCell ref="AA20:AB20"/>
    <mergeCell ref="AA31:AB31"/>
    <mergeCell ref="AA32:AB32"/>
    <mergeCell ref="AA27:AB27"/>
    <mergeCell ref="W21:X21"/>
    <mergeCell ref="Y21:Z21"/>
    <mergeCell ref="AA21:AB21"/>
    <mergeCell ref="W22:X22"/>
    <mergeCell ref="Y22:Z22"/>
    <mergeCell ref="AA22:AB22"/>
    <mergeCell ref="W23:X23"/>
    <mergeCell ref="Y23:Z23"/>
    <mergeCell ref="AA23:AB23"/>
    <mergeCell ref="AA26:AB26"/>
    <mergeCell ref="M28:N28"/>
    <mergeCell ref="AA28:AB28"/>
    <mergeCell ref="M29:N29"/>
    <mergeCell ref="AA29:AB29"/>
    <mergeCell ref="L30:M30"/>
    <mergeCell ref="AA30:AB30"/>
    <mergeCell ref="J33:K33"/>
    <mergeCell ref="M33:N33"/>
    <mergeCell ref="AA33:AB33"/>
    <mergeCell ref="V36:W36"/>
    <mergeCell ref="AA36:AB36"/>
    <mergeCell ref="L35:M35"/>
    <mergeCell ref="V35:W35"/>
    <mergeCell ref="AA35:AB35"/>
    <mergeCell ref="V37:W37"/>
    <mergeCell ref="AA37:AB37"/>
    <mergeCell ref="AA38:AB38"/>
    <mergeCell ref="V39:W39"/>
    <mergeCell ref="AA39:AB39"/>
    <mergeCell ref="Y42:Z42"/>
    <mergeCell ref="V38:W38"/>
    <mergeCell ref="V40:W40"/>
    <mergeCell ref="AA40:AB40"/>
    <mergeCell ref="P41:Q41"/>
    <mergeCell ref="T41:U41"/>
    <mergeCell ref="X41:Z41"/>
  </mergeCells>
  <pageMargins left="0.7" right="0.7" top="0.75" bottom="0.75" header="0.3" footer="0.3"/>
  <pageSetup scale="75" orientation="portrait" horizontalDpi="200" verticalDpi="200" r:id="rId1"/>
  <headerFooter>
    <oddHeader>&amp;L&amp;14&amp;F&amp;R&amp;14&amp;A</oddHeader>
    <oddFooter>&amp;L&amp;14Varkie C. Thomas, Ph.D., P.E.&amp;C&amp;14College of Architecture&amp;R&amp;14Illinois Institute of Technology, Chicago</oddFooter>
  </headerFooter>
  <drawing r:id="rId2"/>
  <legacyDrawing r:id="rId3"/>
  <oleObjects>
    <oleObject progId="Equation.3" shapeId="2049" r:id="rId4"/>
    <oleObject progId="Equation.3" shapeId="2050" r:id="rId5"/>
    <oleObject progId="Equation.3" shapeId="2051" r:id="rId6"/>
    <oleObject progId="Equation.3" shapeId="2052" r:id="rId7"/>
    <oleObject progId="Equation.3" shapeId="2053" r:id="rId8"/>
    <oleObject progId="Equation.3" shapeId="2054" r:id="rId9"/>
    <oleObject progId="Equation.3" shapeId="2055" r:id="rId10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2:W35"/>
  <sheetViews>
    <sheetView zoomScale="85" zoomScaleNormal="85" workbookViewId="0">
      <selection activeCell="X8" sqref="X8"/>
    </sheetView>
  </sheetViews>
  <sheetFormatPr defaultColWidth="8.19921875" defaultRowHeight="16.5" customHeight="1"/>
  <cols>
    <col min="1" max="1" width="1.69921875" style="162" customWidth="1"/>
    <col min="2" max="2" width="7.19921875" style="1741" customWidth="1"/>
    <col min="3" max="5" width="7.19921875" style="166" customWidth="1"/>
    <col min="6" max="6" width="8.69921875" style="162" customWidth="1"/>
    <col min="7" max="7" width="2.69921875" style="166" customWidth="1"/>
    <col min="8" max="8" width="8.19921875" style="1741" customWidth="1"/>
    <col min="9" max="9" width="5.69921875" style="162" customWidth="1"/>
    <col min="10" max="10" width="13.69921875" style="167" customWidth="1"/>
    <col min="11" max="11" width="8.19921875" style="1741" customWidth="1"/>
    <col min="12" max="14" width="7.19921875" style="166" customWidth="1"/>
    <col min="15" max="15" width="8.19921875" style="1746" customWidth="1"/>
    <col min="16" max="19" width="7.19921875" style="166" customWidth="1"/>
    <col min="20" max="21" width="1.69921875" style="166" customWidth="1"/>
    <col min="22" max="226" width="8.19921875" style="166"/>
    <col min="227" max="227" width="3.19921875" style="166" customWidth="1"/>
    <col min="228" max="233" width="11.3984375" style="166" customWidth="1"/>
    <col min="234" max="234" width="3.19921875" style="166" customWidth="1"/>
    <col min="235" max="235" width="11.3984375" style="166" customWidth="1"/>
    <col min="236" max="236" width="9.59765625" style="166" customWidth="1"/>
    <col min="237" max="482" width="8.19921875" style="166"/>
    <col min="483" max="483" width="3.19921875" style="166" customWidth="1"/>
    <col min="484" max="489" width="11.3984375" style="166" customWidth="1"/>
    <col min="490" max="490" width="3.19921875" style="166" customWidth="1"/>
    <col min="491" max="491" width="11.3984375" style="166" customWidth="1"/>
    <col min="492" max="492" width="9.59765625" style="166" customWidth="1"/>
    <col min="493" max="738" width="8.19921875" style="166"/>
    <col min="739" max="739" width="3.19921875" style="166" customWidth="1"/>
    <col min="740" max="745" width="11.3984375" style="166" customWidth="1"/>
    <col min="746" max="746" width="3.19921875" style="166" customWidth="1"/>
    <col min="747" max="747" width="11.3984375" style="166" customWidth="1"/>
    <col min="748" max="748" width="9.59765625" style="166" customWidth="1"/>
    <col min="749" max="994" width="8.19921875" style="166"/>
    <col min="995" max="995" width="3.19921875" style="166" customWidth="1"/>
    <col min="996" max="1001" width="11.3984375" style="166" customWidth="1"/>
    <col min="1002" max="1002" width="3.19921875" style="166" customWidth="1"/>
    <col min="1003" max="1003" width="11.3984375" style="166" customWidth="1"/>
    <col min="1004" max="1004" width="9.59765625" style="166" customWidth="1"/>
    <col min="1005" max="1250" width="8.19921875" style="166"/>
    <col min="1251" max="1251" width="3.19921875" style="166" customWidth="1"/>
    <col min="1252" max="1257" width="11.3984375" style="166" customWidth="1"/>
    <col min="1258" max="1258" width="3.19921875" style="166" customWidth="1"/>
    <col min="1259" max="1259" width="11.3984375" style="166" customWidth="1"/>
    <col min="1260" max="1260" width="9.59765625" style="166" customWidth="1"/>
    <col min="1261" max="1506" width="8.19921875" style="166"/>
    <col min="1507" max="1507" width="3.19921875" style="166" customWidth="1"/>
    <col min="1508" max="1513" width="11.3984375" style="166" customWidth="1"/>
    <col min="1514" max="1514" width="3.19921875" style="166" customWidth="1"/>
    <col min="1515" max="1515" width="11.3984375" style="166" customWidth="1"/>
    <col min="1516" max="1516" width="9.59765625" style="166" customWidth="1"/>
    <col min="1517" max="1762" width="8.19921875" style="166"/>
    <col min="1763" max="1763" width="3.19921875" style="166" customWidth="1"/>
    <col min="1764" max="1769" width="11.3984375" style="166" customWidth="1"/>
    <col min="1770" max="1770" width="3.19921875" style="166" customWidth="1"/>
    <col min="1771" max="1771" width="11.3984375" style="166" customWidth="1"/>
    <col min="1772" max="1772" width="9.59765625" style="166" customWidth="1"/>
    <col min="1773" max="2018" width="8.19921875" style="166"/>
    <col min="2019" max="2019" width="3.19921875" style="166" customWidth="1"/>
    <col min="2020" max="2025" width="11.3984375" style="166" customWidth="1"/>
    <col min="2026" max="2026" width="3.19921875" style="166" customWidth="1"/>
    <col min="2027" max="2027" width="11.3984375" style="166" customWidth="1"/>
    <col min="2028" max="2028" width="9.59765625" style="166" customWidth="1"/>
    <col min="2029" max="2274" width="8.19921875" style="166"/>
    <col min="2275" max="2275" width="3.19921875" style="166" customWidth="1"/>
    <col min="2276" max="2281" width="11.3984375" style="166" customWidth="1"/>
    <col min="2282" max="2282" width="3.19921875" style="166" customWidth="1"/>
    <col min="2283" max="2283" width="11.3984375" style="166" customWidth="1"/>
    <col min="2284" max="2284" width="9.59765625" style="166" customWidth="1"/>
    <col min="2285" max="2530" width="8.19921875" style="166"/>
    <col min="2531" max="2531" width="3.19921875" style="166" customWidth="1"/>
    <col min="2532" max="2537" width="11.3984375" style="166" customWidth="1"/>
    <col min="2538" max="2538" width="3.19921875" style="166" customWidth="1"/>
    <col min="2539" max="2539" width="11.3984375" style="166" customWidth="1"/>
    <col min="2540" max="2540" width="9.59765625" style="166" customWidth="1"/>
    <col min="2541" max="2786" width="8.19921875" style="166"/>
    <col min="2787" max="2787" width="3.19921875" style="166" customWidth="1"/>
    <col min="2788" max="2793" width="11.3984375" style="166" customWidth="1"/>
    <col min="2794" max="2794" width="3.19921875" style="166" customWidth="1"/>
    <col min="2795" max="2795" width="11.3984375" style="166" customWidth="1"/>
    <col min="2796" max="2796" width="9.59765625" style="166" customWidth="1"/>
    <col min="2797" max="3042" width="8.19921875" style="166"/>
    <col min="3043" max="3043" width="3.19921875" style="166" customWidth="1"/>
    <col min="3044" max="3049" width="11.3984375" style="166" customWidth="1"/>
    <col min="3050" max="3050" width="3.19921875" style="166" customWidth="1"/>
    <col min="3051" max="3051" width="11.3984375" style="166" customWidth="1"/>
    <col min="3052" max="3052" width="9.59765625" style="166" customWidth="1"/>
    <col min="3053" max="3298" width="8.19921875" style="166"/>
    <col min="3299" max="3299" width="3.19921875" style="166" customWidth="1"/>
    <col min="3300" max="3305" width="11.3984375" style="166" customWidth="1"/>
    <col min="3306" max="3306" width="3.19921875" style="166" customWidth="1"/>
    <col min="3307" max="3307" width="11.3984375" style="166" customWidth="1"/>
    <col min="3308" max="3308" width="9.59765625" style="166" customWidth="1"/>
    <col min="3309" max="3554" width="8.19921875" style="166"/>
    <col min="3555" max="3555" width="3.19921875" style="166" customWidth="1"/>
    <col min="3556" max="3561" width="11.3984375" style="166" customWidth="1"/>
    <col min="3562" max="3562" width="3.19921875" style="166" customWidth="1"/>
    <col min="3563" max="3563" width="11.3984375" style="166" customWidth="1"/>
    <col min="3564" max="3564" width="9.59765625" style="166" customWidth="1"/>
    <col min="3565" max="3810" width="8.19921875" style="166"/>
    <col min="3811" max="3811" width="3.19921875" style="166" customWidth="1"/>
    <col min="3812" max="3817" width="11.3984375" style="166" customWidth="1"/>
    <col min="3818" max="3818" width="3.19921875" style="166" customWidth="1"/>
    <col min="3819" max="3819" width="11.3984375" style="166" customWidth="1"/>
    <col min="3820" max="3820" width="9.59765625" style="166" customWidth="1"/>
    <col min="3821" max="4066" width="8.19921875" style="166"/>
    <col min="4067" max="4067" width="3.19921875" style="166" customWidth="1"/>
    <col min="4068" max="4073" width="11.3984375" style="166" customWidth="1"/>
    <col min="4074" max="4074" width="3.19921875" style="166" customWidth="1"/>
    <col min="4075" max="4075" width="11.3984375" style="166" customWidth="1"/>
    <col min="4076" max="4076" width="9.59765625" style="166" customWidth="1"/>
    <col min="4077" max="4322" width="8.19921875" style="166"/>
    <col min="4323" max="4323" width="3.19921875" style="166" customWidth="1"/>
    <col min="4324" max="4329" width="11.3984375" style="166" customWidth="1"/>
    <col min="4330" max="4330" width="3.19921875" style="166" customWidth="1"/>
    <col min="4331" max="4331" width="11.3984375" style="166" customWidth="1"/>
    <col min="4332" max="4332" width="9.59765625" style="166" customWidth="1"/>
    <col min="4333" max="4578" width="8.19921875" style="166"/>
    <col min="4579" max="4579" width="3.19921875" style="166" customWidth="1"/>
    <col min="4580" max="4585" width="11.3984375" style="166" customWidth="1"/>
    <col min="4586" max="4586" width="3.19921875" style="166" customWidth="1"/>
    <col min="4587" max="4587" width="11.3984375" style="166" customWidth="1"/>
    <col min="4588" max="4588" width="9.59765625" style="166" customWidth="1"/>
    <col min="4589" max="4834" width="8.19921875" style="166"/>
    <col min="4835" max="4835" width="3.19921875" style="166" customWidth="1"/>
    <col min="4836" max="4841" width="11.3984375" style="166" customWidth="1"/>
    <col min="4842" max="4842" width="3.19921875" style="166" customWidth="1"/>
    <col min="4843" max="4843" width="11.3984375" style="166" customWidth="1"/>
    <col min="4844" max="4844" width="9.59765625" style="166" customWidth="1"/>
    <col min="4845" max="5090" width="8.19921875" style="166"/>
    <col min="5091" max="5091" width="3.19921875" style="166" customWidth="1"/>
    <col min="5092" max="5097" width="11.3984375" style="166" customWidth="1"/>
    <col min="5098" max="5098" width="3.19921875" style="166" customWidth="1"/>
    <col min="5099" max="5099" width="11.3984375" style="166" customWidth="1"/>
    <col min="5100" max="5100" width="9.59765625" style="166" customWidth="1"/>
    <col min="5101" max="5346" width="8.19921875" style="166"/>
    <col min="5347" max="5347" width="3.19921875" style="166" customWidth="1"/>
    <col min="5348" max="5353" width="11.3984375" style="166" customWidth="1"/>
    <col min="5354" max="5354" width="3.19921875" style="166" customWidth="1"/>
    <col min="5355" max="5355" width="11.3984375" style="166" customWidth="1"/>
    <col min="5356" max="5356" width="9.59765625" style="166" customWidth="1"/>
    <col min="5357" max="5602" width="8.19921875" style="166"/>
    <col min="5603" max="5603" width="3.19921875" style="166" customWidth="1"/>
    <col min="5604" max="5609" width="11.3984375" style="166" customWidth="1"/>
    <col min="5610" max="5610" width="3.19921875" style="166" customWidth="1"/>
    <col min="5611" max="5611" width="11.3984375" style="166" customWidth="1"/>
    <col min="5612" max="5612" width="9.59765625" style="166" customWidth="1"/>
    <col min="5613" max="5858" width="8.19921875" style="166"/>
    <col min="5859" max="5859" width="3.19921875" style="166" customWidth="1"/>
    <col min="5860" max="5865" width="11.3984375" style="166" customWidth="1"/>
    <col min="5866" max="5866" width="3.19921875" style="166" customWidth="1"/>
    <col min="5867" max="5867" width="11.3984375" style="166" customWidth="1"/>
    <col min="5868" max="5868" width="9.59765625" style="166" customWidth="1"/>
    <col min="5869" max="6114" width="8.19921875" style="166"/>
    <col min="6115" max="6115" width="3.19921875" style="166" customWidth="1"/>
    <col min="6116" max="6121" width="11.3984375" style="166" customWidth="1"/>
    <col min="6122" max="6122" width="3.19921875" style="166" customWidth="1"/>
    <col min="6123" max="6123" width="11.3984375" style="166" customWidth="1"/>
    <col min="6124" max="6124" width="9.59765625" style="166" customWidth="1"/>
    <col min="6125" max="6370" width="8.19921875" style="166"/>
    <col min="6371" max="6371" width="3.19921875" style="166" customWidth="1"/>
    <col min="6372" max="6377" width="11.3984375" style="166" customWidth="1"/>
    <col min="6378" max="6378" width="3.19921875" style="166" customWidth="1"/>
    <col min="6379" max="6379" width="11.3984375" style="166" customWidth="1"/>
    <col min="6380" max="6380" width="9.59765625" style="166" customWidth="1"/>
    <col min="6381" max="6626" width="8.19921875" style="166"/>
    <col min="6627" max="6627" width="3.19921875" style="166" customWidth="1"/>
    <col min="6628" max="6633" width="11.3984375" style="166" customWidth="1"/>
    <col min="6634" max="6634" width="3.19921875" style="166" customWidth="1"/>
    <col min="6635" max="6635" width="11.3984375" style="166" customWidth="1"/>
    <col min="6636" max="6636" width="9.59765625" style="166" customWidth="1"/>
    <col min="6637" max="6882" width="8.19921875" style="166"/>
    <col min="6883" max="6883" width="3.19921875" style="166" customWidth="1"/>
    <col min="6884" max="6889" width="11.3984375" style="166" customWidth="1"/>
    <col min="6890" max="6890" width="3.19921875" style="166" customWidth="1"/>
    <col min="6891" max="6891" width="11.3984375" style="166" customWidth="1"/>
    <col min="6892" max="6892" width="9.59765625" style="166" customWidth="1"/>
    <col min="6893" max="7138" width="8.19921875" style="166"/>
    <col min="7139" max="7139" width="3.19921875" style="166" customWidth="1"/>
    <col min="7140" max="7145" width="11.3984375" style="166" customWidth="1"/>
    <col min="7146" max="7146" width="3.19921875" style="166" customWidth="1"/>
    <col min="7147" max="7147" width="11.3984375" style="166" customWidth="1"/>
    <col min="7148" max="7148" width="9.59765625" style="166" customWidth="1"/>
    <col min="7149" max="7394" width="8.19921875" style="166"/>
    <col min="7395" max="7395" width="3.19921875" style="166" customWidth="1"/>
    <col min="7396" max="7401" width="11.3984375" style="166" customWidth="1"/>
    <col min="7402" max="7402" width="3.19921875" style="166" customWidth="1"/>
    <col min="7403" max="7403" width="11.3984375" style="166" customWidth="1"/>
    <col min="7404" max="7404" width="9.59765625" style="166" customWidth="1"/>
    <col min="7405" max="7650" width="8.19921875" style="166"/>
    <col min="7651" max="7651" width="3.19921875" style="166" customWidth="1"/>
    <col min="7652" max="7657" width="11.3984375" style="166" customWidth="1"/>
    <col min="7658" max="7658" width="3.19921875" style="166" customWidth="1"/>
    <col min="7659" max="7659" width="11.3984375" style="166" customWidth="1"/>
    <col min="7660" max="7660" width="9.59765625" style="166" customWidth="1"/>
    <col min="7661" max="7906" width="8.19921875" style="166"/>
    <col min="7907" max="7907" width="3.19921875" style="166" customWidth="1"/>
    <col min="7908" max="7913" width="11.3984375" style="166" customWidth="1"/>
    <col min="7914" max="7914" width="3.19921875" style="166" customWidth="1"/>
    <col min="7915" max="7915" width="11.3984375" style="166" customWidth="1"/>
    <col min="7916" max="7916" width="9.59765625" style="166" customWidth="1"/>
    <col min="7917" max="8162" width="8.19921875" style="166"/>
    <col min="8163" max="8163" width="3.19921875" style="166" customWidth="1"/>
    <col min="8164" max="8169" width="11.3984375" style="166" customWidth="1"/>
    <col min="8170" max="8170" width="3.19921875" style="166" customWidth="1"/>
    <col min="8171" max="8171" width="11.3984375" style="166" customWidth="1"/>
    <col min="8172" max="8172" width="9.59765625" style="166" customWidth="1"/>
    <col min="8173" max="8418" width="8.19921875" style="166"/>
    <col min="8419" max="8419" width="3.19921875" style="166" customWidth="1"/>
    <col min="8420" max="8425" width="11.3984375" style="166" customWidth="1"/>
    <col min="8426" max="8426" width="3.19921875" style="166" customWidth="1"/>
    <col min="8427" max="8427" width="11.3984375" style="166" customWidth="1"/>
    <col min="8428" max="8428" width="9.59765625" style="166" customWidth="1"/>
    <col min="8429" max="8674" width="8.19921875" style="166"/>
    <col min="8675" max="8675" width="3.19921875" style="166" customWidth="1"/>
    <col min="8676" max="8681" width="11.3984375" style="166" customWidth="1"/>
    <col min="8682" max="8682" width="3.19921875" style="166" customWidth="1"/>
    <col min="8683" max="8683" width="11.3984375" style="166" customWidth="1"/>
    <col min="8684" max="8684" width="9.59765625" style="166" customWidth="1"/>
    <col min="8685" max="8930" width="8.19921875" style="166"/>
    <col min="8931" max="8931" width="3.19921875" style="166" customWidth="1"/>
    <col min="8932" max="8937" width="11.3984375" style="166" customWidth="1"/>
    <col min="8938" max="8938" width="3.19921875" style="166" customWidth="1"/>
    <col min="8939" max="8939" width="11.3984375" style="166" customWidth="1"/>
    <col min="8940" max="8940" width="9.59765625" style="166" customWidth="1"/>
    <col min="8941" max="9186" width="8.19921875" style="166"/>
    <col min="9187" max="9187" width="3.19921875" style="166" customWidth="1"/>
    <col min="9188" max="9193" width="11.3984375" style="166" customWidth="1"/>
    <col min="9194" max="9194" width="3.19921875" style="166" customWidth="1"/>
    <col min="9195" max="9195" width="11.3984375" style="166" customWidth="1"/>
    <col min="9196" max="9196" width="9.59765625" style="166" customWidth="1"/>
    <col min="9197" max="9442" width="8.19921875" style="166"/>
    <col min="9443" max="9443" width="3.19921875" style="166" customWidth="1"/>
    <col min="9444" max="9449" width="11.3984375" style="166" customWidth="1"/>
    <col min="9450" max="9450" width="3.19921875" style="166" customWidth="1"/>
    <col min="9451" max="9451" width="11.3984375" style="166" customWidth="1"/>
    <col min="9452" max="9452" width="9.59765625" style="166" customWidth="1"/>
    <col min="9453" max="9698" width="8.19921875" style="166"/>
    <col min="9699" max="9699" width="3.19921875" style="166" customWidth="1"/>
    <col min="9700" max="9705" width="11.3984375" style="166" customWidth="1"/>
    <col min="9706" max="9706" width="3.19921875" style="166" customWidth="1"/>
    <col min="9707" max="9707" width="11.3984375" style="166" customWidth="1"/>
    <col min="9708" max="9708" width="9.59765625" style="166" customWidth="1"/>
    <col min="9709" max="9954" width="8.19921875" style="166"/>
    <col min="9955" max="9955" width="3.19921875" style="166" customWidth="1"/>
    <col min="9956" max="9961" width="11.3984375" style="166" customWidth="1"/>
    <col min="9962" max="9962" width="3.19921875" style="166" customWidth="1"/>
    <col min="9963" max="9963" width="11.3984375" style="166" customWidth="1"/>
    <col min="9964" max="9964" width="9.59765625" style="166" customWidth="1"/>
    <col min="9965" max="10210" width="8.19921875" style="166"/>
    <col min="10211" max="10211" width="3.19921875" style="166" customWidth="1"/>
    <col min="10212" max="10217" width="11.3984375" style="166" customWidth="1"/>
    <col min="10218" max="10218" width="3.19921875" style="166" customWidth="1"/>
    <col min="10219" max="10219" width="11.3984375" style="166" customWidth="1"/>
    <col min="10220" max="10220" width="9.59765625" style="166" customWidth="1"/>
    <col min="10221" max="10466" width="8.19921875" style="166"/>
    <col min="10467" max="10467" width="3.19921875" style="166" customWidth="1"/>
    <col min="10468" max="10473" width="11.3984375" style="166" customWidth="1"/>
    <col min="10474" max="10474" width="3.19921875" style="166" customWidth="1"/>
    <col min="10475" max="10475" width="11.3984375" style="166" customWidth="1"/>
    <col min="10476" max="10476" width="9.59765625" style="166" customWidth="1"/>
    <col min="10477" max="10722" width="8.19921875" style="166"/>
    <col min="10723" max="10723" width="3.19921875" style="166" customWidth="1"/>
    <col min="10724" max="10729" width="11.3984375" style="166" customWidth="1"/>
    <col min="10730" max="10730" width="3.19921875" style="166" customWidth="1"/>
    <col min="10731" max="10731" width="11.3984375" style="166" customWidth="1"/>
    <col min="10732" max="10732" width="9.59765625" style="166" customWidth="1"/>
    <col min="10733" max="10978" width="8.19921875" style="166"/>
    <col min="10979" max="10979" width="3.19921875" style="166" customWidth="1"/>
    <col min="10980" max="10985" width="11.3984375" style="166" customWidth="1"/>
    <col min="10986" max="10986" width="3.19921875" style="166" customWidth="1"/>
    <col min="10987" max="10987" width="11.3984375" style="166" customWidth="1"/>
    <col min="10988" max="10988" width="9.59765625" style="166" customWidth="1"/>
    <col min="10989" max="11234" width="8.19921875" style="166"/>
    <col min="11235" max="11235" width="3.19921875" style="166" customWidth="1"/>
    <col min="11236" max="11241" width="11.3984375" style="166" customWidth="1"/>
    <col min="11242" max="11242" width="3.19921875" style="166" customWidth="1"/>
    <col min="11243" max="11243" width="11.3984375" style="166" customWidth="1"/>
    <col min="11244" max="11244" width="9.59765625" style="166" customWidth="1"/>
    <col min="11245" max="11490" width="8.19921875" style="166"/>
    <col min="11491" max="11491" width="3.19921875" style="166" customWidth="1"/>
    <col min="11492" max="11497" width="11.3984375" style="166" customWidth="1"/>
    <col min="11498" max="11498" width="3.19921875" style="166" customWidth="1"/>
    <col min="11499" max="11499" width="11.3984375" style="166" customWidth="1"/>
    <col min="11500" max="11500" width="9.59765625" style="166" customWidth="1"/>
    <col min="11501" max="11746" width="8.19921875" style="166"/>
    <col min="11747" max="11747" width="3.19921875" style="166" customWidth="1"/>
    <col min="11748" max="11753" width="11.3984375" style="166" customWidth="1"/>
    <col min="11754" max="11754" width="3.19921875" style="166" customWidth="1"/>
    <col min="11755" max="11755" width="11.3984375" style="166" customWidth="1"/>
    <col min="11756" max="11756" width="9.59765625" style="166" customWidth="1"/>
    <col min="11757" max="12002" width="8.19921875" style="166"/>
    <col min="12003" max="12003" width="3.19921875" style="166" customWidth="1"/>
    <col min="12004" max="12009" width="11.3984375" style="166" customWidth="1"/>
    <col min="12010" max="12010" width="3.19921875" style="166" customWidth="1"/>
    <col min="12011" max="12011" width="11.3984375" style="166" customWidth="1"/>
    <col min="12012" max="12012" width="9.59765625" style="166" customWidth="1"/>
    <col min="12013" max="12258" width="8.19921875" style="166"/>
    <col min="12259" max="12259" width="3.19921875" style="166" customWidth="1"/>
    <col min="12260" max="12265" width="11.3984375" style="166" customWidth="1"/>
    <col min="12266" max="12266" width="3.19921875" style="166" customWidth="1"/>
    <col min="12267" max="12267" width="11.3984375" style="166" customWidth="1"/>
    <col min="12268" max="12268" width="9.59765625" style="166" customWidth="1"/>
    <col min="12269" max="12514" width="8.19921875" style="166"/>
    <col min="12515" max="12515" width="3.19921875" style="166" customWidth="1"/>
    <col min="12516" max="12521" width="11.3984375" style="166" customWidth="1"/>
    <col min="12522" max="12522" width="3.19921875" style="166" customWidth="1"/>
    <col min="12523" max="12523" width="11.3984375" style="166" customWidth="1"/>
    <col min="12524" max="12524" width="9.59765625" style="166" customWidth="1"/>
    <col min="12525" max="12770" width="8.19921875" style="166"/>
    <col min="12771" max="12771" width="3.19921875" style="166" customWidth="1"/>
    <col min="12772" max="12777" width="11.3984375" style="166" customWidth="1"/>
    <col min="12778" max="12778" width="3.19921875" style="166" customWidth="1"/>
    <col min="12779" max="12779" width="11.3984375" style="166" customWidth="1"/>
    <col min="12780" max="12780" width="9.59765625" style="166" customWidth="1"/>
    <col min="12781" max="13026" width="8.19921875" style="166"/>
    <col min="13027" max="13027" width="3.19921875" style="166" customWidth="1"/>
    <col min="13028" max="13033" width="11.3984375" style="166" customWidth="1"/>
    <col min="13034" max="13034" width="3.19921875" style="166" customWidth="1"/>
    <col min="13035" max="13035" width="11.3984375" style="166" customWidth="1"/>
    <col min="13036" max="13036" width="9.59765625" style="166" customWidth="1"/>
    <col min="13037" max="13282" width="8.19921875" style="166"/>
    <col min="13283" max="13283" width="3.19921875" style="166" customWidth="1"/>
    <col min="13284" max="13289" width="11.3984375" style="166" customWidth="1"/>
    <col min="13290" max="13290" width="3.19921875" style="166" customWidth="1"/>
    <col min="13291" max="13291" width="11.3984375" style="166" customWidth="1"/>
    <col min="13292" max="13292" width="9.59765625" style="166" customWidth="1"/>
    <col min="13293" max="13538" width="8.19921875" style="166"/>
    <col min="13539" max="13539" width="3.19921875" style="166" customWidth="1"/>
    <col min="13540" max="13545" width="11.3984375" style="166" customWidth="1"/>
    <col min="13546" max="13546" width="3.19921875" style="166" customWidth="1"/>
    <col min="13547" max="13547" width="11.3984375" style="166" customWidth="1"/>
    <col min="13548" max="13548" width="9.59765625" style="166" customWidth="1"/>
    <col min="13549" max="13794" width="8.19921875" style="166"/>
    <col min="13795" max="13795" width="3.19921875" style="166" customWidth="1"/>
    <col min="13796" max="13801" width="11.3984375" style="166" customWidth="1"/>
    <col min="13802" max="13802" width="3.19921875" style="166" customWidth="1"/>
    <col min="13803" max="13803" width="11.3984375" style="166" customWidth="1"/>
    <col min="13804" max="13804" width="9.59765625" style="166" customWidth="1"/>
    <col min="13805" max="14050" width="8.19921875" style="166"/>
    <col min="14051" max="14051" width="3.19921875" style="166" customWidth="1"/>
    <col min="14052" max="14057" width="11.3984375" style="166" customWidth="1"/>
    <col min="14058" max="14058" width="3.19921875" style="166" customWidth="1"/>
    <col min="14059" max="14059" width="11.3984375" style="166" customWidth="1"/>
    <col min="14060" max="14060" width="9.59765625" style="166" customWidth="1"/>
    <col min="14061" max="14306" width="8.19921875" style="166"/>
    <col min="14307" max="14307" width="3.19921875" style="166" customWidth="1"/>
    <col min="14308" max="14313" width="11.3984375" style="166" customWidth="1"/>
    <col min="14314" max="14314" width="3.19921875" style="166" customWidth="1"/>
    <col min="14315" max="14315" width="11.3984375" style="166" customWidth="1"/>
    <col min="14316" max="14316" width="9.59765625" style="166" customWidth="1"/>
    <col min="14317" max="14562" width="8.19921875" style="166"/>
    <col min="14563" max="14563" width="3.19921875" style="166" customWidth="1"/>
    <col min="14564" max="14569" width="11.3984375" style="166" customWidth="1"/>
    <col min="14570" max="14570" width="3.19921875" style="166" customWidth="1"/>
    <col min="14571" max="14571" width="11.3984375" style="166" customWidth="1"/>
    <col min="14572" max="14572" width="9.59765625" style="166" customWidth="1"/>
    <col min="14573" max="14818" width="8.19921875" style="166"/>
    <col min="14819" max="14819" width="3.19921875" style="166" customWidth="1"/>
    <col min="14820" max="14825" width="11.3984375" style="166" customWidth="1"/>
    <col min="14826" max="14826" width="3.19921875" style="166" customWidth="1"/>
    <col min="14827" max="14827" width="11.3984375" style="166" customWidth="1"/>
    <col min="14828" max="14828" width="9.59765625" style="166" customWidth="1"/>
    <col min="14829" max="15074" width="8.19921875" style="166"/>
    <col min="15075" max="15075" width="3.19921875" style="166" customWidth="1"/>
    <col min="15076" max="15081" width="11.3984375" style="166" customWidth="1"/>
    <col min="15082" max="15082" width="3.19921875" style="166" customWidth="1"/>
    <col min="15083" max="15083" width="11.3984375" style="166" customWidth="1"/>
    <col min="15084" max="15084" width="9.59765625" style="166" customWidth="1"/>
    <col min="15085" max="15330" width="8.19921875" style="166"/>
    <col min="15331" max="15331" width="3.19921875" style="166" customWidth="1"/>
    <col min="15332" max="15337" width="11.3984375" style="166" customWidth="1"/>
    <col min="15338" max="15338" width="3.19921875" style="166" customWidth="1"/>
    <col min="15339" max="15339" width="11.3984375" style="166" customWidth="1"/>
    <col min="15340" max="15340" width="9.59765625" style="166" customWidth="1"/>
    <col min="15341" max="15586" width="8.19921875" style="166"/>
    <col min="15587" max="15587" width="3.19921875" style="166" customWidth="1"/>
    <col min="15588" max="15593" width="11.3984375" style="166" customWidth="1"/>
    <col min="15594" max="15594" width="3.19921875" style="166" customWidth="1"/>
    <col min="15595" max="15595" width="11.3984375" style="166" customWidth="1"/>
    <col min="15596" max="15596" width="9.59765625" style="166" customWidth="1"/>
    <col min="15597" max="15842" width="8.19921875" style="166"/>
    <col min="15843" max="15843" width="3.19921875" style="166" customWidth="1"/>
    <col min="15844" max="15849" width="11.3984375" style="166" customWidth="1"/>
    <col min="15850" max="15850" width="3.19921875" style="166" customWidth="1"/>
    <col min="15851" max="15851" width="11.3984375" style="166" customWidth="1"/>
    <col min="15852" max="15852" width="9.59765625" style="166" customWidth="1"/>
    <col min="15853" max="16098" width="8.19921875" style="166"/>
    <col min="16099" max="16099" width="3.19921875" style="166" customWidth="1"/>
    <col min="16100" max="16105" width="11.3984375" style="166" customWidth="1"/>
    <col min="16106" max="16106" width="3.19921875" style="166" customWidth="1"/>
    <col min="16107" max="16107" width="11.3984375" style="166" customWidth="1"/>
    <col min="16108" max="16108" width="9.59765625" style="166" customWidth="1"/>
    <col min="16109" max="16384" width="8.19921875" style="166"/>
  </cols>
  <sheetData>
    <row r="2" spans="2:23" ht="16.5" customHeight="1">
      <c r="B2" s="2288" t="s">
        <v>286</v>
      </c>
      <c r="C2" s="2288"/>
      <c r="D2" s="2288"/>
      <c r="E2" s="2288"/>
      <c r="F2" s="2288"/>
      <c r="G2" s="163"/>
      <c r="H2" s="1742" t="s">
        <v>287</v>
      </c>
      <c r="I2" s="1744" t="s">
        <v>288</v>
      </c>
      <c r="J2" s="1810">
        <f>-1.0214165 * 10^4</f>
        <v>-10214.164999999999</v>
      </c>
      <c r="K2" s="1762" t="s">
        <v>289</v>
      </c>
      <c r="L2" s="1782" t="s">
        <v>290</v>
      </c>
      <c r="M2" s="1783"/>
      <c r="N2" s="1784"/>
      <c r="O2" s="1819">
        <v>78</v>
      </c>
      <c r="P2" s="165"/>
      <c r="Q2" s="165"/>
      <c r="R2" s="165"/>
      <c r="S2" s="165"/>
      <c r="T2" s="165"/>
      <c r="U2" s="165"/>
      <c r="V2" s="165"/>
      <c r="W2" s="165"/>
    </row>
    <row r="3" spans="2:23" ht="16.5" customHeight="1" thickBot="1">
      <c r="B3" s="2289"/>
      <c r="C3" s="2289"/>
      <c r="D3" s="2289"/>
      <c r="E3" s="2289"/>
      <c r="F3" s="2289"/>
      <c r="G3" s="163"/>
      <c r="H3" s="1752" t="s">
        <v>291</v>
      </c>
      <c r="I3" s="1760" t="s">
        <v>292</v>
      </c>
      <c r="J3" s="1811">
        <f>-4.8932428 * 10^0</f>
        <v>-4.8932428000000003</v>
      </c>
      <c r="K3" s="1760" t="s">
        <v>293</v>
      </c>
      <c r="L3" s="1785" t="s">
        <v>294</v>
      </c>
      <c r="M3" s="1786"/>
      <c r="N3" s="1787"/>
      <c r="O3" s="1820">
        <v>63.5</v>
      </c>
      <c r="P3" s="165"/>
      <c r="Q3" s="165"/>
      <c r="R3" s="165"/>
      <c r="S3" s="165"/>
      <c r="T3" s="165"/>
      <c r="U3" s="165"/>
      <c r="V3" s="165"/>
      <c r="W3" s="165"/>
    </row>
    <row r="4" spans="2:23" ht="16.5" customHeight="1">
      <c r="B4" s="1747" t="s">
        <v>295</v>
      </c>
      <c r="C4" s="168" t="s">
        <v>296</v>
      </c>
      <c r="D4" s="168"/>
      <c r="E4" s="169"/>
      <c r="F4" s="1833">
        <v>0</v>
      </c>
      <c r="G4" s="163"/>
      <c r="H4" s="1752"/>
      <c r="I4" s="1760" t="s">
        <v>297</v>
      </c>
      <c r="J4" s="1811">
        <f>-5.3765794 * 10^-3</f>
        <v>-5.3765793999999995E-3</v>
      </c>
      <c r="K4" s="1760" t="s">
        <v>117</v>
      </c>
      <c r="L4" s="1788" t="s">
        <v>298</v>
      </c>
      <c r="M4" s="1789"/>
      <c r="N4" s="1787"/>
      <c r="O4" s="1821">
        <v>0</v>
      </c>
      <c r="P4" s="165"/>
      <c r="Q4" s="165"/>
      <c r="R4" s="165"/>
      <c r="S4" s="165"/>
      <c r="T4" s="165"/>
      <c r="U4" s="165"/>
      <c r="V4" s="165"/>
      <c r="W4" s="165"/>
    </row>
    <row r="5" spans="2:23" ht="16.5" customHeight="1">
      <c r="B5" s="1748" t="s">
        <v>299</v>
      </c>
      <c r="C5" s="170" t="s">
        <v>300</v>
      </c>
      <c r="D5" s="170"/>
      <c r="E5" s="170"/>
      <c r="F5" s="1834">
        <v>29.92</v>
      </c>
      <c r="G5" s="163"/>
      <c r="H5" s="1752"/>
      <c r="I5" s="1760" t="s">
        <v>301</v>
      </c>
      <c r="J5" s="1811">
        <f xml:space="preserve"> 1.9202377 * 10^-7</f>
        <v>1.9202376999999999E-7</v>
      </c>
      <c r="K5" s="1760" t="s">
        <v>302</v>
      </c>
      <c r="L5" s="1790" t="s">
        <v>303</v>
      </c>
      <c r="M5" s="1791"/>
      <c r="N5" s="1787"/>
      <c r="O5" s="1822">
        <f>29.92*(1-(6.8753*10^-6)*O4)^5.2559</f>
        <v>29.92</v>
      </c>
      <c r="P5" s="165" t="s">
        <v>304</v>
      </c>
      <c r="Q5" s="165"/>
      <c r="R5" s="165"/>
      <c r="S5" s="165"/>
      <c r="T5" s="165"/>
      <c r="U5" s="165"/>
      <c r="V5" s="165"/>
      <c r="W5" s="165"/>
    </row>
    <row r="6" spans="2:23" ht="16.5" customHeight="1" thickBot="1">
      <c r="B6" s="1749" t="s">
        <v>305</v>
      </c>
      <c r="C6" s="171" t="s">
        <v>306</v>
      </c>
      <c r="D6" s="172"/>
      <c r="E6" s="172"/>
      <c r="F6" s="1835">
        <v>68</v>
      </c>
      <c r="G6" s="163"/>
      <c r="H6" s="1752"/>
      <c r="I6" s="1760" t="s">
        <v>307</v>
      </c>
      <c r="J6" s="1811">
        <f xml:space="preserve"> 3.5575832 * 10^-10</f>
        <v>3.5575831999999998E-10</v>
      </c>
      <c r="K6" s="1760" t="s">
        <v>47</v>
      </c>
      <c r="L6" s="1790" t="s">
        <v>308</v>
      </c>
      <c r="M6" s="1791"/>
      <c r="N6" s="1787"/>
      <c r="O6" s="1823">
        <f>O16*2.041772658</f>
        <v>0.97004802159405557</v>
      </c>
      <c r="P6" s="165" t="s">
        <v>309</v>
      </c>
      <c r="Q6" s="165"/>
      <c r="R6" s="165"/>
      <c r="S6" s="165"/>
      <c r="T6" s="165"/>
      <c r="U6" s="165"/>
      <c r="V6" s="165"/>
      <c r="W6" s="165"/>
    </row>
    <row r="7" spans="2:23" ht="16.5" customHeight="1">
      <c r="B7" s="1750" t="s">
        <v>117</v>
      </c>
      <c r="C7" s="173" t="s">
        <v>310</v>
      </c>
      <c r="D7" s="174"/>
      <c r="E7" s="175"/>
      <c r="F7" s="1836">
        <v>1000</v>
      </c>
      <c r="G7" s="163"/>
      <c r="H7" s="1752"/>
      <c r="I7" s="1760" t="s">
        <v>311</v>
      </c>
      <c r="J7" s="1811">
        <f xml:space="preserve"> -9.0344688 * 10^-14</f>
        <v>-9.0344688000000011E-14</v>
      </c>
      <c r="K7" s="1760" t="s">
        <v>312</v>
      </c>
      <c r="L7" s="1790" t="s">
        <v>313</v>
      </c>
      <c r="M7" s="1791"/>
      <c r="N7" s="1787"/>
      <c r="O7" s="1824">
        <f>O5/2.041772658</f>
        <v>14.653933131472073</v>
      </c>
      <c r="P7" s="165" t="s">
        <v>314</v>
      </c>
      <c r="Q7" s="165"/>
      <c r="R7" s="165"/>
      <c r="S7" s="165"/>
      <c r="T7" s="165"/>
      <c r="U7" s="165"/>
      <c r="V7" s="165"/>
      <c r="W7" s="165"/>
    </row>
    <row r="8" spans="2:23" ht="16.5" customHeight="1">
      <c r="B8" s="1751" t="s">
        <v>315</v>
      </c>
      <c r="C8" s="176" t="s">
        <v>316</v>
      </c>
      <c r="D8" s="177"/>
      <c r="E8" s="178"/>
      <c r="F8" s="1837">
        <f>F5*(1-(6.8753*10^-6)*F7)^5.2559</f>
        <v>28.854514686158218</v>
      </c>
      <c r="G8" s="163"/>
      <c r="H8" s="1755"/>
      <c r="I8" s="1761" t="s">
        <v>317</v>
      </c>
      <c r="J8" s="1812">
        <f xml:space="preserve"> 4.1635019 * 10^0</f>
        <v>4.1635019</v>
      </c>
      <c r="K8" s="1760" t="s">
        <v>318</v>
      </c>
      <c r="L8" s="1790" t="s">
        <v>319</v>
      </c>
      <c r="M8" s="1791"/>
      <c r="N8" s="1787"/>
      <c r="O8" s="1825">
        <f>(O5*O14)/(0.62198+O14)</f>
        <v>0.43686072603424952</v>
      </c>
      <c r="P8" s="165" t="s">
        <v>320</v>
      </c>
      <c r="Q8" s="165"/>
      <c r="R8" s="165"/>
      <c r="S8" s="165"/>
      <c r="T8" s="165"/>
      <c r="U8" s="165"/>
      <c r="V8" s="165"/>
      <c r="W8" s="165"/>
    </row>
    <row r="9" spans="2:23" ht="16.5" customHeight="1">
      <c r="B9" s="1752" t="s">
        <v>289</v>
      </c>
      <c r="C9" s="180" t="s">
        <v>290</v>
      </c>
      <c r="D9" s="181"/>
      <c r="E9" s="182"/>
      <c r="F9" s="1838">
        <v>95</v>
      </c>
      <c r="G9" s="163"/>
      <c r="H9" s="1756" t="s">
        <v>287</v>
      </c>
      <c r="I9" s="1762" t="s">
        <v>321</v>
      </c>
      <c r="J9" s="1810">
        <f xml:space="preserve"> -1.0440397 * 10^4</f>
        <v>-10440.396999999999</v>
      </c>
      <c r="K9" s="1760" t="s">
        <v>322</v>
      </c>
      <c r="L9" s="1785" t="s">
        <v>323</v>
      </c>
      <c r="M9" s="1786"/>
      <c r="N9" s="1787"/>
      <c r="O9" s="1826">
        <f>O3+459.67</f>
        <v>523.17000000000007</v>
      </c>
      <c r="P9" s="165" t="s">
        <v>324</v>
      </c>
      <c r="Q9" s="165"/>
      <c r="R9" s="165"/>
      <c r="S9" s="165"/>
      <c r="T9" s="165"/>
      <c r="U9" s="165"/>
      <c r="V9" s="165"/>
      <c r="W9" s="165"/>
    </row>
    <row r="10" spans="2:23" ht="16.5" customHeight="1">
      <c r="B10" s="1753" t="s">
        <v>325</v>
      </c>
      <c r="C10" s="183" t="s">
        <v>294</v>
      </c>
      <c r="D10" s="184"/>
      <c r="E10" s="185"/>
      <c r="F10" s="1839">
        <v>75</v>
      </c>
      <c r="G10" s="163"/>
      <c r="H10" s="1752" t="s">
        <v>326</v>
      </c>
      <c r="I10" s="1760" t="s">
        <v>327</v>
      </c>
      <c r="J10" s="1811">
        <f xml:space="preserve"> -1.129465 * 10^1</f>
        <v>-11.294649999999999</v>
      </c>
      <c r="K10" s="1760" t="s">
        <v>328</v>
      </c>
      <c r="L10" s="1785" t="s">
        <v>329</v>
      </c>
      <c r="M10" s="1786"/>
      <c r="N10" s="1787"/>
      <c r="O10" s="1827">
        <f xml:space="preserve"> EXP((-10440.397/O9)+(-11.29465) + (-0.027022355*O9) + (0.00001289036*O9*O9) + (-0.0000000024780681*O9^3)+(6.5459673*LN(O9)))</f>
        <v>0.29011100478567919</v>
      </c>
      <c r="P10" s="165" t="s">
        <v>330</v>
      </c>
      <c r="Q10" s="165"/>
      <c r="R10" s="165"/>
      <c r="S10" s="165"/>
      <c r="T10" s="165"/>
      <c r="U10" s="165"/>
      <c r="V10" s="165"/>
      <c r="W10" s="165"/>
    </row>
    <row r="11" spans="2:23" ht="16.5" customHeight="1">
      <c r="B11" s="1754" t="s">
        <v>312</v>
      </c>
      <c r="C11" s="186" t="s">
        <v>331</v>
      </c>
      <c r="D11" s="187"/>
      <c r="E11" s="187"/>
      <c r="F11" s="1840">
        <f>F5/2.041772658</f>
        <v>14.653933131472073</v>
      </c>
      <c r="G11" s="163"/>
      <c r="H11" s="1752"/>
      <c r="I11" s="1760" t="s">
        <v>332</v>
      </c>
      <c r="J11" s="1811">
        <f xml:space="preserve"> -2.7022355 * 10^-2</f>
        <v>-2.7022355000000001E-2</v>
      </c>
      <c r="K11" s="1776"/>
      <c r="L11" s="1792"/>
      <c r="M11" s="1793"/>
      <c r="N11" s="1794"/>
      <c r="O11" s="1828"/>
      <c r="P11" s="166" t="s">
        <v>333</v>
      </c>
      <c r="T11" s="165"/>
      <c r="U11" s="165"/>
      <c r="V11" s="165"/>
      <c r="W11" s="165"/>
    </row>
    <row r="12" spans="2:23" ht="16.5" customHeight="1">
      <c r="B12" s="1752" t="s">
        <v>47</v>
      </c>
      <c r="C12" s="188" t="s">
        <v>308</v>
      </c>
      <c r="D12" s="189"/>
      <c r="E12" s="189"/>
      <c r="F12" s="1841">
        <f>F19*2.041772658</f>
        <v>1.66658844962729</v>
      </c>
      <c r="G12" s="163"/>
      <c r="H12" s="1752"/>
      <c r="I12" s="1760" t="s">
        <v>334</v>
      </c>
      <c r="J12" s="1811">
        <f xml:space="preserve"> 1.289036 * 10^-5</f>
        <v>1.2890360000000002E-5</v>
      </c>
      <c r="K12" s="1760" t="s">
        <v>335</v>
      </c>
      <c r="L12" s="1785" t="s">
        <v>336</v>
      </c>
      <c r="M12" s="1786"/>
      <c r="N12" s="1787"/>
      <c r="O12" s="1829">
        <f>0.62198*(O10/(O7-O10))</f>
        <v>1.2562341775407614E-2</v>
      </c>
      <c r="P12" s="165" t="s">
        <v>337</v>
      </c>
      <c r="Q12" s="165"/>
      <c r="R12" s="165"/>
      <c r="S12" s="165"/>
      <c r="T12" s="165"/>
      <c r="U12" s="165"/>
      <c r="V12" s="165"/>
      <c r="W12" s="165"/>
    </row>
    <row r="13" spans="2:23" ht="16.5" customHeight="1">
      <c r="B13" s="1755" t="s">
        <v>318</v>
      </c>
      <c r="C13" s="179" t="s">
        <v>319</v>
      </c>
      <c r="D13" s="190"/>
      <c r="E13" s="190"/>
      <c r="F13" s="1842">
        <f>(F5*F18)/(0.62198+F18)</f>
        <v>0.66421328299373228</v>
      </c>
      <c r="G13" s="163"/>
      <c r="H13" s="1752"/>
      <c r="I13" s="1760" t="s">
        <v>338</v>
      </c>
      <c r="J13" s="1811">
        <f xml:space="preserve"> -2.4780681 * 10^-9</f>
        <v>-2.4780681000000005E-9</v>
      </c>
      <c r="K13" s="1760" t="s">
        <v>339</v>
      </c>
      <c r="L13" s="1785" t="s">
        <v>323</v>
      </c>
      <c r="M13" s="1786"/>
      <c r="N13" s="1787"/>
      <c r="O13" s="1826">
        <f>O2+459.67</f>
        <v>537.67000000000007</v>
      </c>
      <c r="P13" s="165" t="s">
        <v>340</v>
      </c>
      <c r="Q13" s="165"/>
      <c r="R13" s="165"/>
      <c r="S13" s="165"/>
      <c r="T13" s="165"/>
      <c r="U13" s="165"/>
      <c r="V13" s="165"/>
      <c r="W13" s="165"/>
    </row>
    <row r="14" spans="2:23" ht="16.5" customHeight="1">
      <c r="B14" s="1756" t="s">
        <v>322</v>
      </c>
      <c r="C14" s="191" t="s">
        <v>341</v>
      </c>
      <c r="D14" s="192"/>
      <c r="E14" s="192"/>
      <c r="F14" s="1843">
        <f>F10+459.67</f>
        <v>534.67000000000007</v>
      </c>
      <c r="G14" s="163"/>
      <c r="H14" s="1753"/>
      <c r="I14" s="1763" t="s">
        <v>342</v>
      </c>
      <c r="J14" s="1813">
        <f xml:space="preserve"> 6.5459673 * 10^0</f>
        <v>6.5459673</v>
      </c>
      <c r="K14" s="1760" t="s">
        <v>34</v>
      </c>
      <c r="L14" s="1785" t="s">
        <v>343</v>
      </c>
      <c r="M14" s="1786"/>
      <c r="N14" s="1787"/>
      <c r="O14" s="1827">
        <f>((1093-0.556*O3)*O12 - 0.24*(O2-O3))/(1093 + 0.444*O2 -O3)</f>
        <v>9.2160686097194511E-3</v>
      </c>
      <c r="P14" s="165" t="s">
        <v>344</v>
      </c>
      <c r="Q14" s="165"/>
      <c r="R14" s="165"/>
      <c r="S14" s="165"/>
      <c r="T14" s="165"/>
      <c r="U14" s="165"/>
      <c r="V14" s="165"/>
      <c r="W14" s="165"/>
    </row>
    <row r="15" spans="2:23" ht="16.5" customHeight="1">
      <c r="B15" s="1752" t="s">
        <v>328</v>
      </c>
      <c r="C15" s="180" t="s">
        <v>329</v>
      </c>
      <c r="D15" s="193"/>
      <c r="E15" s="193"/>
      <c r="F15" s="1844">
        <f xml:space="preserve"> EXP((-10440.397/F14)+(-11.29465) + (-0.027022355*F14) + (0.00001289036*F14*F14) + (-0.0000000024780681*F14^3)+(6.5459673*LN(F14)))</f>
        <v>0.43007453554805986</v>
      </c>
      <c r="G15" s="163"/>
      <c r="H15" s="1754" t="s">
        <v>287</v>
      </c>
      <c r="I15" s="1764" t="s">
        <v>345</v>
      </c>
      <c r="J15" s="1814">
        <v>100.45</v>
      </c>
      <c r="K15" s="1776"/>
      <c r="L15" s="1792"/>
      <c r="M15" s="1793"/>
      <c r="N15" s="1794"/>
      <c r="O15" s="1828"/>
      <c r="P15" s="166" t="s">
        <v>346</v>
      </c>
      <c r="T15" s="165"/>
      <c r="U15" s="165"/>
      <c r="V15" s="165"/>
      <c r="W15" s="165"/>
    </row>
    <row r="16" spans="2:23" ht="16.5" customHeight="1">
      <c r="B16" s="1753" t="s">
        <v>335</v>
      </c>
      <c r="C16" s="183" t="s">
        <v>336</v>
      </c>
      <c r="D16" s="195"/>
      <c r="E16" s="195"/>
      <c r="F16" s="1845">
        <f>0.62198*(F15/(F11-F15))</f>
        <v>1.880627242011787E-2</v>
      </c>
      <c r="G16" s="163"/>
      <c r="H16" s="1752" t="s">
        <v>326</v>
      </c>
      <c r="I16" s="1760" t="s">
        <v>347</v>
      </c>
      <c r="J16" s="1815">
        <v>33.192999999999998</v>
      </c>
      <c r="K16" s="1760" t="s">
        <v>348</v>
      </c>
      <c r="L16" s="1785" t="s">
        <v>329</v>
      </c>
      <c r="M16" s="1786"/>
      <c r="N16" s="1787"/>
      <c r="O16" s="1827">
        <f xml:space="preserve"> EXP((-10440.397/O13)+(-11.29465) + (-0.027022355*O13) + (0.00001289036*O13*O13) + (-0.0000000024780681*O13^3)+(6.5459673*LN(O13)))</f>
        <v>0.47510089715093806</v>
      </c>
      <c r="P16" s="165" t="s">
        <v>349</v>
      </c>
      <c r="Q16" s="165"/>
      <c r="R16" s="165"/>
      <c r="S16" s="165"/>
      <c r="T16" s="165"/>
      <c r="U16" s="165"/>
      <c r="V16" s="165"/>
      <c r="W16" s="165"/>
    </row>
    <row r="17" spans="2:23" ht="16.5" customHeight="1">
      <c r="B17" s="1754" t="s">
        <v>339</v>
      </c>
      <c r="C17" s="196" t="s">
        <v>350</v>
      </c>
      <c r="D17" s="194"/>
      <c r="E17" s="194"/>
      <c r="F17" s="1846">
        <f>F9+459.67</f>
        <v>554.67000000000007</v>
      </c>
      <c r="G17" s="163"/>
      <c r="H17" s="1752"/>
      <c r="I17" s="1760" t="s">
        <v>351</v>
      </c>
      <c r="J17" s="1815">
        <v>2.319</v>
      </c>
      <c r="K17" s="1776"/>
      <c r="L17" s="1792"/>
      <c r="M17" s="1793"/>
      <c r="N17" s="1794"/>
      <c r="O17" s="1828"/>
      <c r="P17" s="166" t="s">
        <v>352</v>
      </c>
      <c r="T17" s="165"/>
      <c r="U17" s="165"/>
      <c r="V17" s="165"/>
      <c r="W17" s="165"/>
    </row>
    <row r="18" spans="2:23" ht="16.5" customHeight="1">
      <c r="B18" s="1752" t="s">
        <v>34</v>
      </c>
      <c r="C18" s="180" t="s">
        <v>343</v>
      </c>
      <c r="D18" s="193"/>
      <c r="E18" s="193"/>
      <c r="F18" s="1844">
        <f>((1093-0.556*F10)*F16 - 0.24*(F9-F10))/(1093 + 0.444*F9 -F10)</f>
        <v>1.4121219222462143E-2</v>
      </c>
      <c r="G18" s="163"/>
      <c r="H18" s="1752"/>
      <c r="I18" s="1760" t="s">
        <v>353</v>
      </c>
      <c r="J18" s="1815">
        <v>0.17074</v>
      </c>
      <c r="K18" s="1760" t="s">
        <v>354</v>
      </c>
      <c r="L18" s="1785" t="s">
        <v>336</v>
      </c>
      <c r="M18" s="1786"/>
      <c r="N18" s="1787"/>
      <c r="O18" s="1827">
        <f>0.62198*(O16/(O7-O16))</f>
        <v>2.0841156106964038E-2</v>
      </c>
      <c r="P18" s="165" t="s">
        <v>355</v>
      </c>
      <c r="Q18" s="165"/>
      <c r="R18" s="165"/>
      <c r="S18" s="165"/>
      <c r="T18" s="165"/>
      <c r="U18" s="165"/>
      <c r="V18" s="165"/>
      <c r="W18" s="165"/>
    </row>
    <row r="19" spans="2:23" ht="16.5" customHeight="1">
      <c r="B19" s="1752" t="s">
        <v>348</v>
      </c>
      <c r="C19" s="180" t="s">
        <v>329</v>
      </c>
      <c r="D19" s="193"/>
      <c r="E19" s="193"/>
      <c r="F19" s="1844">
        <f xml:space="preserve"> EXP((-10440.397/F17)+(-11.29465) + (-0.027022355*F17) + (0.00001289036*F17*F17) + (-0.0000000024780681*F17^3)+(6.5459673*LN(F17)))</f>
        <v>0.81624584553883761</v>
      </c>
      <c r="G19" s="163"/>
      <c r="H19" s="1755"/>
      <c r="I19" s="1761" t="s">
        <v>356</v>
      </c>
      <c r="J19" s="1816">
        <v>1.2062999999999999</v>
      </c>
      <c r="K19" s="1760" t="s">
        <v>211</v>
      </c>
      <c r="L19" s="1785" t="s">
        <v>357</v>
      </c>
      <c r="M19" s="1786"/>
      <c r="N19" s="1787"/>
      <c r="O19" s="1827">
        <f>O14/O18</f>
        <v>0.44220524823188273</v>
      </c>
      <c r="P19" s="165" t="s">
        <v>358</v>
      </c>
      <c r="Q19" s="165"/>
      <c r="R19" s="165"/>
      <c r="S19" s="165"/>
      <c r="T19" s="165"/>
      <c r="U19" s="165"/>
      <c r="V19" s="165"/>
      <c r="W19" s="165"/>
    </row>
    <row r="20" spans="2:23" ht="16.5" customHeight="1">
      <c r="B20" s="1755" t="s">
        <v>354</v>
      </c>
      <c r="C20" s="198" t="s">
        <v>336</v>
      </c>
      <c r="D20" s="197"/>
      <c r="E20" s="197"/>
      <c r="F20" s="1847">
        <f>0.62198*(F19/(F11-F19))</f>
        <v>3.6688832499079484E-2</v>
      </c>
      <c r="G20" s="163"/>
      <c r="H20" s="1756" t="s">
        <v>287</v>
      </c>
      <c r="I20" s="1762" t="s">
        <v>359</v>
      </c>
      <c r="J20" s="1817">
        <v>90.12</v>
      </c>
      <c r="K20" s="1760" t="s">
        <v>118</v>
      </c>
      <c r="L20" s="1785" t="s">
        <v>360</v>
      </c>
      <c r="M20" s="1786"/>
      <c r="N20" s="1787"/>
      <c r="O20" s="1827">
        <f>O19/(1-(1-O19)*(O16/O7))</f>
        <v>0.45034958714349749</v>
      </c>
      <c r="P20" s="165" t="s">
        <v>361</v>
      </c>
      <c r="Q20" s="165"/>
      <c r="R20" s="165"/>
      <c r="S20" s="165"/>
      <c r="T20" s="165"/>
      <c r="U20" s="165"/>
      <c r="V20" s="165"/>
      <c r="W20" s="165"/>
    </row>
    <row r="21" spans="2:23" ht="16.5" customHeight="1">
      <c r="B21" s="1756" t="s">
        <v>211</v>
      </c>
      <c r="C21" s="191" t="s">
        <v>357</v>
      </c>
      <c r="D21" s="192"/>
      <c r="E21" s="192"/>
      <c r="F21" s="1848">
        <f>F18/F20</f>
        <v>0.38489148497206727</v>
      </c>
      <c r="G21" s="163"/>
      <c r="H21" s="1752" t="s">
        <v>291</v>
      </c>
      <c r="I21" s="1760" t="s">
        <v>362</v>
      </c>
      <c r="J21" s="1815">
        <v>26.141999999999999</v>
      </c>
      <c r="K21" s="1760" t="s">
        <v>49</v>
      </c>
      <c r="L21" s="1785"/>
      <c r="M21" s="1786"/>
      <c r="N21" s="1787"/>
      <c r="O21" s="1827">
        <f>LN(O8*0.4897705)</f>
        <v>-1.5419592043534591</v>
      </c>
      <c r="P21" s="165" t="s">
        <v>363</v>
      </c>
      <c r="Q21" s="165"/>
      <c r="R21" s="165"/>
      <c r="S21" s="165"/>
      <c r="T21" s="165"/>
      <c r="U21" s="164"/>
      <c r="V21" s="165"/>
      <c r="W21" s="165"/>
    </row>
    <row r="22" spans="2:23" ht="16.5" customHeight="1">
      <c r="B22" s="1752" t="s">
        <v>364</v>
      </c>
      <c r="C22" s="180" t="s">
        <v>360</v>
      </c>
      <c r="D22" s="193"/>
      <c r="E22" s="193"/>
      <c r="F22" s="1844">
        <f>F21/(1-(1-F21)*(F19/F11))</f>
        <v>0.39854667368076052</v>
      </c>
      <c r="G22" s="163"/>
      <c r="H22" s="1753"/>
      <c r="I22" s="1763" t="s">
        <v>365</v>
      </c>
      <c r="J22" s="1818">
        <v>0.89270000000000005</v>
      </c>
      <c r="K22" s="1760"/>
      <c r="L22" s="1785" t="s">
        <v>366</v>
      </c>
      <c r="M22" s="1786"/>
      <c r="N22" s="1787"/>
      <c r="O22" s="1830">
        <f>O20*100</f>
        <v>45.034958714349749</v>
      </c>
      <c r="P22" s="165" t="s">
        <v>367</v>
      </c>
      <c r="Q22" s="164"/>
      <c r="R22" s="164"/>
      <c r="S22" s="164"/>
      <c r="T22" s="165"/>
      <c r="U22" s="165"/>
      <c r="V22" s="165"/>
      <c r="W22" s="165"/>
    </row>
    <row r="23" spans="2:23" ht="16.5" customHeight="1">
      <c r="B23" s="1753" t="s">
        <v>49</v>
      </c>
      <c r="C23" s="183"/>
      <c r="D23" s="195"/>
      <c r="E23" s="195" t="s">
        <v>49</v>
      </c>
      <c r="F23" s="1849">
        <f>LN(F13*0.4897705)</f>
        <v>-1.1229703366971147</v>
      </c>
      <c r="G23" s="163"/>
      <c r="H23" s="1743"/>
      <c r="I23" s="1807"/>
      <c r="J23" s="1808"/>
      <c r="K23" s="1760" t="s">
        <v>368</v>
      </c>
      <c r="L23" s="1785" t="s">
        <v>369</v>
      </c>
      <c r="M23" s="1786"/>
      <c r="N23" s="1787"/>
      <c r="O23" s="1826">
        <f>100.45+33.193*O21+2.319*O21^2+0.17074*O21^3+1.2063*(O8*0.4897705)^3</f>
        <v>54.167336273812928</v>
      </c>
      <c r="P23" s="165" t="s">
        <v>370</v>
      </c>
      <c r="Q23" s="165"/>
      <c r="R23" s="165"/>
      <c r="S23" s="165"/>
      <c r="T23" s="165"/>
      <c r="U23" s="165"/>
      <c r="V23" s="165"/>
      <c r="W23" s="165"/>
    </row>
    <row r="24" spans="2:23" ht="16.5" customHeight="1">
      <c r="B24" s="1752" t="s">
        <v>371</v>
      </c>
      <c r="C24" s="196" t="s">
        <v>366</v>
      </c>
      <c r="D24" s="194"/>
      <c r="E24" s="194"/>
      <c r="F24" s="1850">
        <f>F22*100</f>
        <v>39.854667368076051</v>
      </c>
      <c r="G24" s="163"/>
      <c r="H24" s="1762" t="s">
        <v>117</v>
      </c>
      <c r="I24" s="1809" t="s">
        <v>372</v>
      </c>
      <c r="J24" s="1779"/>
      <c r="K24" s="1776"/>
      <c r="L24" s="1792"/>
      <c r="M24" s="1793"/>
      <c r="N24" s="1794"/>
      <c r="O24" s="1828"/>
      <c r="P24" s="166" t="s">
        <v>373</v>
      </c>
      <c r="T24" s="165"/>
      <c r="U24" s="165"/>
      <c r="V24" s="164"/>
      <c r="W24" s="164"/>
    </row>
    <row r="25" spans="2:23" ht="16.5" customHeight="1">
      <c r="B25" s="1752" t="s">
        <v>368</v>
      </c>
      <c r="C25" s="180" t="s">
        <v>374</v>
      </c>
      <c r="D25" s="193"/>
      <c r="E25" s="193"/>
      <c r="F25" s="1851">
        <f>100.45+33.193*F23+2.319*F23^2+0.17074*F23^3+1.2063*(F13*0.4897705)^3</f>
        <v>65.89938768699129</v>
      </c>
      <c r="G25" s="163"/>
      <c r="H25" s="1760" t="s">
        <v>315</v>
      </c>
      <c r="I25" s="1778" t="s">
        <v>375</v>
      </c>
      <c r="J25" s="1779"/>
      <c r="K25" s="1760" t="s">
        <v>34</v>
      </c>
      <c r="L25" s="1785" t="s">
        <v>376</v>
      </c>
      <c r="M25" s="1786"/>
      <c r="N25" s="1787"/>
      <c r="O25" s="1831">
        <f>O14</f>
        <v>9.2160686097194511E-3</v>
      </c>
      <c r="P25" s="165" t="s">
        <v>344</v>
      </c>
      <c r="Q25" s="165"/>
      <c r="R25" s="165"/>
      <c r="S25" s="165"/>
      <c r="T25" s="165"/>
      <c r="U25" s="165"/>
      <c r="V25" s="165"/>
      <c r="W25" s="165"/>
    </row>
    <row r="26" spans="2:23" ht="16.5" customHeight="1">
      <c r="B26" s="1752" t="s">
        <v>34</v>
      </c>
      <c r="C26" s="180" t="s">
        <v>376</v>
      </c>
      <c r="D26" s="193"/>
      <c r="E26" s="193"/>
      <c r="F26" s="1852">
        <f>F18</f>
        <v>1.4121219222462143E-2</v>
      </c>
      <c r="G26" s="163"/>
      <c r="H26" s="1760"/>
      <c r="I26" s="1778" t="s">
        <v>377</v>
      </c>
      <c r="J26" s="1779"/>
      <c r="K26" s="1776"/>
      <c r="L26" s="1792"/>
      <c r="M26" s="1793"/>
      <c r="N26" s="1794"/>
      <c r="O26" s="1828"/>
      <c r="P26" s="166" t="s">
        <v>378</v>
      </c>
      <c r="Q26" s="165"/>
      <c r="R26" s="165"/>
      <c r="S26" s="165"/>
      <c r="T26" s="165"/>
      <c r="U26" s="165"/>
      <c r="V26" s="165"/>
      <c r="W26" s="165"/>
    </row>
    <row r="27" spans="2:23" ht="16.5" customHeight="1">
      <c r="B27" s="1752"/>
      <c r="C27" s="180" t="s">
        <v>379</v>
      </c>
      <c r="D27" s="193"/>
      <c r="E27" s="193"/>
      <c r="F27" s="1853">
        <f xml:space="preserve"> 7000*F26</f>
        <v>98.848534557234998</v>
      </c>
      <c r="H27" s="1760"/>
      <c r="I27" s="1778" t="s">
        <v>380</v>
      </c>
      <c r="J27" s="1779"/>
      <c r="K27" s="1760"/>
      <c r="L27" s="1785" t="s">
        <v>379</v>
      </c>
      <c r="M27" s="1786"/>
      <c r="N27" s="1787"/>
      <c r="O27" s="1830">
        <f xml:space="preserve"> 7000*O25</f>
        <v>64.512480268036157</v>
      </c>
      <c r="P27" s="165" t="s">
        <v>381</v>
      </c>
      <c r="Q27" s="165"/>
      <c r="R27" s="165"/>
      <c r="S27" s="165"/>
      <c r="T27" s="165"/>
      <c r="U27" s="165"/>
      <c r="V27" s="165"/>
      <c r="W27" s="165"/>
    </row>
    <row r="28" spans="2:23" ht="16.5" customHeight="1">
      <c r="B28" s="1752" t="s">
        <v>35</v>
      </c>
      <c r="C28" s="180" t="s">
        <v>382</v>
      </c>
      <c r="D28" s="193"/>
      <c r="E28" s="193"/>
      <c r="F28" s="1853">
        <f>0.24*F9 +F18*(1061 + 0.444*F9)</f>
        <v>38.378246621835785</v>
      </c>
      <c r="H28" s="1760" t="s">
        <v>34</v>
      </c>
      <c r="I28" s="1778" t="s">
        <v>383</v>
      </c>
      <c r="J28" s="1779"/>
      <c r="K28" s="1761" t="s">
        <v>35</v>
      </c>
      <c r="L28" s="1795" t="s">
        <v>384</v>
      </c>
      <c r="M28" s="1796"/>
      <c r="N28" s="1797"/>
      <c r="O28" s="1830">
        <f>0.24*O2 +O14*(1061 + 0.444*O2)</f>
        <v>28.81741968300414</v>
      </c>
      <c r="P28" s="165" t="s">
        <v>385</v>
      </c>
      <c r="Q28" s="165"/>
      <c r="R28" s="165"/>
      <c r="S28" s="165"/>
      <c r="T28" s="165"/>
      <c r="U28" s="165"/>
      <c r="V28" s="165"/>
      <c r="W28" s="165"/>
    </row>
    <row r="29" spans="2:23" ht="16.5" customHeight="1">
      <c r="B29" s="1753" t="s">
        <v>32</v>
      </c>
      <c r="C29" s="183" t="s">
        <v>386</v>
      </c>
      <c r="D29" s="195"/>
      <c r="E29" s="195"/>
      <c r="F29" s="1854">
        <f>0.7543*(F17*(1+1.6078*F26))/F5</f>
        <v>14.301025832736311</v>
      </c>
      <c r="H29" s="1760"/>
      <c r="I29" s="1778" t="s">
        <v>387</v>
      </c>
      <c r="J29" s="1779"/>
      <c r="K29" s="1764" t="s">
        <v>32</v>
      </c>
      <c r="L29" s="1782" t="s">
        <v>388</v>
      </c>
      <c r="M29" s="1783"/>
      <c r="N29" s="1784"/>
      <c r="O29" s="1832">
        <f>0.7543*(O13*(1+1.6078*O25))/O5</f>
        <v>13.75581454781892</v>
      </c>
      <c r="P29" s="165" t="s">
        <v>389</v>
      </c>
      <c r="Q29" s="165"/>
      <c r="R29" s="165"/>
      <c r="S29" s="165"/>
      <c r="T29" s="165"/>
      <c r="U29" s="165"/>
      <c r="V29" s="165"/>
      <c r="W29" s="165"/>
    </row>
    <row r="30" spans="2:23" ht="16.5" customHeight="1">
      <c r="C30" s="1799"/>
      <c r="D30" s="1800"/>
      <c r="E30" s="1800"/>
      <c r="F30" s="1801"/>
      <c r="H30" s="1760" t="s">
        <v>211</v>
      </c>
      <c r="I30" s="1778" t="s">
        <v>390</v>
      </c>
      <c r="J30" s="1779"/>
      <c r="K30" s="1777" t="s">
        <v>289</v>
      </c>
      <c r="L30" s="1795" t="s">
        <v>391</v>
      </c>
      <c r="M30" s="1796"/>
      <c r="N30" s="1798"/>
      <c r="O30" s="1745"/>
      <c r="P30" s="200"/>
      <c r="Q30" s="165"/>
      <c r="R30" s="165"/>
      <c r="S30" s="165"/>
      <c r="T30" s="165"/>
      <c r="U30" s="165"/>
      <c r="V30" s="165"/>
      <c r="W30" s="165"/>
    </row>
    <row r="31" spans="2:23" ht="16.5" customHeight="1">
      <c r="B31" s="1758" t="s">
        <v>392</v>
      </c>
      <c r="C31" s="1785" t="s">
        <v>393</v>
      </c>
      <c r="D31" s="1793"/>
      <c r="E31" s="1802"/>
      <c r="F31" s="1803"/>
      <c r="H31" s="1763"/>
      <c r="I31" s="1780" t="s">
        <v>394</v>
      </c>
      <c r="J31" s="1781"/>
      <c r="K31" s="1763" t="s">
        <v>368</v>
      </c>
      <c r="L31" s="1785" t="s">
        <v>395</v>
      </c>
      <c r="M31" s="1786"/>
      <c r="N31" s="1787"/>
      <c r="O31" s="1745"/>
      <c r="P31" s="200"/>
      <c r="Q31" s="165"/>
      <c r="R31" s="165"/>
      <c r="S31" s="165"/>
      <c r="T31" s="165"/>
      <c r="U31" s="165"/>
      <c r="V31" s="165"/>
      <c r="W31" s="165"/>
    </row>
    <row r="32" spans="2:23" ht="16.5" customHeight="1">
      <c r="B32" s="1757" t="s">
        <v>354</v>
      </c>
      <c r="C32" s="1785" t="s">
        <v>396</v>
      </c>
      <c r="D32" s="1793"/>
      <c r="E32" s="1802"/>
      <c r="F32" s="1803"/>
      <c r="J32" s="165"/>
      <c r="K32" s="1743"/>
      <c r="L32" s="1785" t="s">
        <v>384</v>
      </c>
      <c r="M32" s="1786"/>
      <c r="N32" s="1787"/>
      <c r="O32" s="1745"/>
      <c r="P32" s="200"/>
      <c r="Q32" s="165"/>
      <c r="R32" s="165"/>
      <c r="S32" s="165"/>
      <c r="T32" s="165"/>
      <c r="U32" s="165"/>
      <c r="V32" s="165"/>
      <c r="W32" s="165"/>
    </row>
    <row r="33" spans="2:23" ht="16.5" customHeight="1">
      <c r="B33" s="1757" t="s">
        <v>397</v>
      </c>
      <c r="C33" s="1785" t="s">
        <v>391</v>
      </c>
      <c r="D33" s="1793"/>
      <c r="E33" s="1802"/>
      <c r="F33" s="1803"/>
      <c r="J33" s="199"/>
      <c r="K33" s="1743"/>
      <c r="L33" s="1795" t="s">
        <v>388</v>
      </c>
      <c r="M33" s="1796"/>
      <c r="N33" s="1797"/>
      <c r="O33" s="1745"/>
      <c r="P33" s="200"/>
      <c r="Q33" s="165"/>
      <c r="R33" s="165"/>
      <c r="S33" s="165"/>
      <c r="T33" s="165"/>
      <c r="U33" s="165"/>
      <c r="V33" s="165"/>
      <c r="W33" s="165"/>
    </row>
    <row r="34" spans="2:23" ht="16.5" customHeight="1">
      <c r="B34" s="1757" t="s">
        <v>398</v>
      </c>
      <c r="C34" s="1785" t="s">
        <v>393</v>
      </c>
      <c r="D34" s="1793"/>
      <c r="E34" s="1802"/>
      <c r="F34" s="1803"/>
      <c r="J34" s="199"/>
      <c r="N34" s="165"/>
      <c r="O34" s="1745"/>
      <c r="P34" s="200"/>
      <c r="Q34" s="165"/>
      <c r="R34" s="165"/>
      <c r="S34" s="165"/>
      <c r="T34" s="165"/>
      <c r="U34" s="165"/>
      <c r="V34" s="165"/>
      <c r="W34" s="165"/>
    </row>
    <row r="35" spans="2:23" ht="16.5" customHeight="1">
      <c r="B35" s="1759" t="s">
        <v>399</v>
      </c>
      <c r="C35" s="1795" t="s">
        <v>396</v>
      </c>
      <c r="D35" s="1804"/>
      <c r="E35" s="1805"/>
      <c r="F35" s="1806"/>
      <c r="J35" s="165"/>
      <c r="N35" s="165"/>
      <c r="O35" s="1745"/>
      <c r="P35" s="200"/>
      <c r="Q35" s="165"/>
      <c r="R35" s="165"/>
      <c r="S35" s="165"/>
      <c r="T35" s="165"/>
      <c r="U35" s="165"/>
      <c r="V35" s="165"/>
      <c r="W35" s="165"/>
    </row>
  </sheetData>
  <mergeCells count="1">
    <mergeCell ref="B2:F3"/>
  </mergeCells>
  <pageMargins left="0.5" right="0.45" top="0.75" bottom="0.75" header="0.3" footer="0.3"/>
  <pageSetup scale="85" orientation="landscape" r:id="rId1"/>
  <headerFooter>
    <oddHeader>&amp;L&amp;10Energy Efficient Building Design&amp;C&amp;10College of Architecture&amp;R&amp;10Illinois Institute Of Technology (IIT), Chicago</oddHeader>
    <oddFooter>&amp;L&amp;10Varkie C. Thomas, Ph.D., P.E.&amp;C&amp;10Skidmore, Owings &amp; Merrill, LLP&amp;R&amp;10&amp;A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Input-Output</vt:lpstr>
      <vt:lpstr>SMMR-Calcs</vt:lpstr>
      <vt:lpstr>WNTR-Calcs</vt:lpstr>
      <vt:lpstr>HRB-Apt-Pressurization  Vnt-Exh</vt:lpstr>
      <vt:lpstr>Bldg-Stck-Eff-Theory</vt:lpstr>
      <vt:lpstr>Ref-Psychro-EQNs</vt:lpstr>
      <vt:lpstr>'SMMR-Calcs'!Print_Titles</vt:lpstr>
      <vt:lpstr>'WNTR-Calcs'!Print_Titles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cp:lastPrinted>2012-05-29T16:35:49Z</cp:lastPrinted>
  <dcterms:created xsi:type="dcterms:W3CDTF">2011-12-23T16:32:36Z</dcterms:created>
  <dcterms:modified xsi:type="dcterms:W3CDTF">2012-05-29T17:36:32Z</dcterms:modified>
</cp:coreProperties>
</file>