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mbeddings/oleObject7.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Default Extension="jpeg" ContentType="image/jpeg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36" windowWidth="14664" windowHeight="9000"/>
  </bookViews>
  <sheets>
    <sheet name="Hi-Rise-Multiuse" sheetId="15" r:id="rId1"/>
    <sheet name="Input-Output" sheetId="11" r:id="rId2"/>
    <sheet name="SMMR-Calcs" sheetId="2" r:id="rId3"/>
    <sheet name="WNTR-Calcs" sheetId="9" r:id="rId4"/>
    <sheet name="HRB-Apt-Pressurization  Vnt-Exh" sheetId="18" r:id="rId5"/>
    <sheet name="Bldg-Stck-Eff-Theory" sheetId="16" r:id="rId6"/>
    <sheet name="Ref-Psychro-EQNs" sheetId="17" r:id="rId7"/>
  </sheets>
  <calcPr calcId="125725"/>
</workbook>
</file>

<file path=xl/calcChain.xml><?xml version="1.0" encoding="utf-8"?>
<calcChain xmlns="http://schemas.openxmlformats.org/spreadsheetml/2006/main">
  <c r="DG36" i="18"/>
  <c r="DG35"/>
  <c r="DG34"/>
  <c r="AB34"/>
  <c r="AT31" s="1"/>
  <c r="DG33"/>
  <c r="CS33"/>
  <c r="CK33"/>
  <c r="CC33"/>
  <c r="BU33"/>
  <c r="AD33"/>
  <c r="AZ28" s="1"/>
  <c r="DG32"/>
  <c r="DG31"/>
  <c r="CS31"/>
  <c r="CK31"/>
  <c r="CC31"/>
  <c r="BU31"/>
  <c r="DG30"/>
  <c r="AU30"/>
  <c r="DG29"/>
  <c r="CS29"/>
  <c r="CK29"/>
  <c r="CC29"/>
  <c r="BU29"/>
  <c r="DG28"/>
  <c r="DG27"/>
  <c r="CS27"/>
  <c r="CK27"/>
  <c r="CC27"/>
  <c r="BU27"/>
  <c r="DG26"/>
  <c r="DG25"/>
  <c r="DG24"/>
  <c r="DG23"/>
  <c r="AD23"/>
  <c r="AH34" s="1"/>
  <c r="BL31" s="1"/>
  <c r="X23"/>
  <c r="DG22"/>
  <c r="Z22"/>
  <c r="X22"/>
  <c r="AB33" s="1"/>
  <c r="AT28" s="1"/>
  <c r="AT34" s="1"/>
  <c r="DG21"/>
  <c r="DG20"/>
  <c r="DG19"/>
  <c r="AD19"/>
  <c r="AD20" s="1"/>
  <c r="DG18"/>
  <c r="AD18"/>
  <c r="AB18"/>
  <c r="AB19" s="1"/>
  <c r="AB20" s="1"/>
  <c r="Z18"/>
  <c r="Z19" s="1"/>
  <c r="X18"/>
  <c r="DG17"/>
  <c r="AD17"/>
  <c r="BM30" s="1"/>
  <c r="AB17"/>
  <c r="BG30" s="1"/>
  <c r="Z17"/>
  <c r="Z23" s="1"/>
  <c r="AD34" s="1"/>
  <c r="AZ31" s="1"/>
  <c r="X17"/>
  <c r="DG16"/>
  <c r="AD16"/>
  <c r="AD22" s="1"/>
  <c r="AH33" s="1"/>
  <c r="BL28" s="1"/>
  <c r="BL34" s="1"/>
  <c r="AB16"/>
  <c r="AB22" s="1"/>
  <c r="AF33" s="1"/>
  <c r="BF28" s="1"/>
  <c r="Z16"/>
  <c r="BA27" s="1"/>
  <c r="X16"/>
  <c r="AU27" s="1"/>
  <c r="DG15"/>
  <c r="DG14"/>
  <c r="DG13"/>
  <c r="CT5"/>
  <c r="CL5"/>
  <c r="CD5"/>
  <c r="BV5"/>
  <c r="BM5"/>
  <c r="BG5"/>
  <c r="BA5"/>
  <c r="AU5"/>
  <c r="AF31" l="1"/>
  <c r="AB21"/>
  <c r="AD21"/>
  <c r="AH31"/>
  <c r="AZ34"/>
  <c r="X19"/>
  <c r="X20" s="1"/>
  <c r="BA30"/>
  <c r="BM27"/>
  <c r="Z20"/>
  <c r="AB23"/>
  <c r="AF34" s="1"/>
  <c r="BF31" s="1"/>
  <c r="BF34" s="1"/>
  <c r="BG27"/>
  <c r="BB36" l="1"/>
  <c r="X21"/>
  <c r="AB31"/>
  <c r="AH32"/>
  <c r="AD24"/>
  <c r="AF32"/>
  <c r="AB24"/>
  <c r="AD31"/>
  <c r="Z21"/>
  <c r="AD25" l="1"/>
  <c r="AH35"/>
  <c r="AD32"/>
  <c r="Z24"/>
  <c r="AB32"/>
  <c r="X24"/>
  <c r="AF35"/>
  <c r="AB25"/>
  <c r="AH36" l="1"/>
  <c r="AD26"/>
  <c r="X25"/>
  <c r="AB35"/>
  <c r="AB26"/>
  <c r="AF36"/>
  <c r="AD35"/>
  <c r="Z25"/>
  <c r="BL33" l="1"/>
  <c r="CR35"/>
  <c r="AB36"/>
  <c r="X26"/>
  <c r="CJ35"/>
  <c r="BF33"/>
  <c r="AD36"/>
  <c r="Z26"/>
  <c r="CB35" l="1"/>
  <c r="AZ33"/>
  <c r="BT35"/>
  <c r="AT33"/>
  <c r="F16" i="17"/>
  <c r="F18" s="1"/>
  <c r="J13"/>
  <c r="F13"/>
  <c r="F14" s="1"/>
  <c r="F15" s="1"/>
  <c r="F17" s="1"/>
  <c r="N12"/>
  <c r="N15" s="1"/>
  <c r="J12"/>
  <c r="J11"/>
  <c r="J10"/>
  <c r="F10"/>
  <c r="N9"/>
  <c r="J9"/>
  <c r="N8"/>
  <c r="J8"/>
  <c r="J7"/>
  <c r="F7"/>
  <c r="J6"/>
  <c r="J5"/>
  <c r="N4"/>
  <c r="N6" s="1"/>
  <c r="J4"/>
  <c r="J3"/>
  <c r="J2"/>
  <c r="J1"/>
  <c r="BB35" i="18" l="1"/>
  <c r="BM36" s="1"/>
  <c r="N11" i="17"/>
  <c r="N13" s="1"/>
  <c r="F11"/>
  <c r="F19"/>
  <c r="F27"/>
  <c r="F20"/>
  <c r="F21" s="1"/>
  <c r="F23" s="1"/>
  <c r="F12"/>
  <c r="F22" s="1"/>
  <c r="F24" s="1"/>
  <c r="F25"/>
  <c r="F26" s="1"/>
  <c r="N5"/>
  <c r="N17"/>
  <c r="F28"/>
  <c r="N24" l="1"/>
  <c r="N27"/>
  <c r="N18"/>
  <c r="N19" s="1"/>
  <c r="N21" s="1"/>
  <c r="N7"/>
  <c r="N20" s="1"/>
  <c r="N22" s="1"/>
  <c r="N26" l="1"/>
  <c r="N28"/>
  <c r="X42" i="16" l="1"/>
  <c r="AA31"/>
  <c r="U23"/>
  <c r="Y14"/>
  <c r="B53" i="15" l="1"/>
  <c r="C53" s="1"/>
  <c r="D53" s="1"/>
  <c r="E53" s="1"/>
  <c r="F53" s="1"/>
  <c r="G53" s="1"/>
  <c r="H53" s="1"/>
  <c r="I53" s="1"/>
  <c r="J53" s="1"/>
  <c r="K53" s="1"/>
  <c r="L53" s="1"/>
  <c r="M53" s="1"/>
  <c r="N53" s="1"/>
  <c r="O53" s="1"/>
  <c r="P53" s="1"/>
  <c r="Q53" s="1"/>
  <c r="R53" s="1"/>
  <c r="S53" s="1"/>
  <c r="T53" s="1"/>
  <c r="U53" s="1"/>
  <c r="V53" s="1"/>
  <c r="W53" s="1"/>
  <c r="X53" s="1"/>
  <c r="Y53" s="1"/>
  <c r="Z53" s="1"/>
  <c r="AA53" s="1"/>
  <c r="AB53" s="1"/>
  <c r="AC53" s="1"/>
  <c r="AD53" s="1"/>
  <c r="AE53" s="1"/>
  <c r="AF53" s="1"/>
  <c r="AG53" s="1"/>
  <c r="AH53" s="1"/>
  <c r="AI53" s="1"/>
  <c r="AJ53" s="1"/>
  <c r="AK53" s="1"/>
  <c r="AL53" s="1"/>
  <c r="AM53" s="1"/>
  <c r="AN53" s="1"/>
  <c r="AO53" s="1"/>
  <c r="AP53" s="1"/>
  <c r="AQ53" s="1"/>
  <c r="AR53" s="1"/>
  <c r="AS53" s="1"/>
  <c r="AT53" s="1"/>
  <c r="AU53" s="1"/>
  <c r="AV53" s="1"/>
  <c r="AW53" s="1"/>
  <c r="J52"/>
  <c r="K52" s="1"/>
  <c r="L52" s="1"/>
  <c r="M52" s="1"/>
  <c r="N52" s="1"/>
  <c r="O52" s="1"/>
  <c r="P52" s="1"/>
  <c r="Q52" s="1"/>
  <c r="R52" s="1"/>
  <c r="S52" s="1"/>
  <c r="T52" s="1"/>
  <c r="U52" s="1"/>
  <c r="V52" s="1"/>
  <c r="W52" s="1"/>
  <c r="X52" s="1"/>
  <c r="Y52" s="1"/>
  <c r="Z52" s="1"/>
  <c r="AA52" s="1"/>
  <c r="AB52" s="1"/>
  <c r="AC52" s="1"/>
  <c r="AD52" s="1"/>
  <c r="AE52" s="1"/>
  <c r="AF52" s="1"/>
  <c r="AG52" s="1"/>
  <c r="AH52" s="1"/>
  <c r="AI52" s="1"/>
  <c r="AJ52" s="1"/>
  <c r="AK52" s="1"/>
  <c r="AL52" s="1"/>
  <c r="AM52" s="1"/>
  <c r="AN52" s="1"/>
  <c r="AO52" s="1"/>
  <c r="AS47"/>
  <c r="AQ47"/>
  <c r="H47"/>
  <c r="F47"/>
  <c r="AS46"/>
  <c r="AQ46"/>
  <c r="H46"/>
  <c r="F46"/>
  <c r="AS45"/>
  <c r="AQ45"/>
  <c r="H45"/>
  <c r="H44" s="1"/>
  <c r="H43" s="1"/>
  <c r="H42" s="1"/>
  <c r="H41" s="1"/>
  <c r="H40" s="1"/>
  <c r="H39" s="1"/>
  <c r="H38" s="1"/>
  <c r="H37" s="1"/>
  <c r="H36" s="1"/>
  <c r="H35" s="1"/>
  <c r="H34" s="1"/>
  <c r="H33" s="1"/>
  <c r="H32" s="1"/>
  <c r="H31" s="1"/>
  <c r="H30" s="1"/>
  <c r="H29" s="1"/>
  <c r="H28" s="1"/>
  <c r="H27" s="1"/>
  <c r="H26" s="1"/>
  <c r="H25" s="1"/>
  <c r="H24" s="1"/>
  <c r="H23" s="1"/>
  <c r="H22" s="1"/>
  <c r="H21" s="1"/>
  <c r="H20" s="1"/>
  <c r="H19" s="1"/>
  <c r="H18" s="1"/>
  <c r="H17" s="1"/>
  <c r="H16" s="1"/>
  <c r="H15" s="1"/>
  <c r="H14" s="1"/>
  <c r="H13" s="1"/>
  <c r="H12" s="1"/>
  <c r="H11" s="1"/>
  <c r="H10" s="1"/>
  <c r="H9" s="1"/>
  <c r="H8" s="1"/>
  <c r="H7" s="1"/>
  <c r="H6" s="1"/>
  <c r="H5" s="1"/>
  <c r="H4" s="1"/>
  <c r="H3" s="1"/>
  <c r="H2" s="1"/>
  <c r="F45"/>
  <c r="AS44"/>
  <c r="AQ44"/>
  <c r="F44"/>
  <c r="AS43"/>
  <c r="AQ43"/>
  <c r="AQ42" s="1"/>
  <c r="AQ41" s="1"/>
  <c r="AQ40" s="1"/>
  <c r="AQ39" s="1"/>
  <c r="AQ38" s="1"/>
  <c r="AQ37" s="1"/>
  <c r="AQ36" s="1"/>
  <c r="AQ35" s="1"/>
  <c r="AQ34" s="1"/>
  <c r="AQ33" s="1"/>
  <c r="AQ32" s="1"/>
  <c r="AQ31" s="1"/>
  <c r="AQ30" s="1"/>
  <c r="AQ29" s="1"/>
  <c r="AQ28" s="1"/>
  <c r="AQ27" s="1"/>
  <c r="AQ26" s="1"/>
  <c r="AQ25" s="1"/>
  <c r="AQ24" s="1"/>
  <c r="AQ23" s="1"/>
  <c r="AQ22" s="1"/>
  <c r="AQ21" s="1"/>
  <c r="AQ20" s="1"/>
  <c r="AQ19" s="1"/>
  <c r="AQ18" s="1"/>
  <c r="AQ17" s="1"/>
  <c r="AQ16" s="1"/>
  <c r="AQ15" s="1"/>
  <c r="AQ14" s="1"/>
  <c r="AQ13" s="1"/>
  <c r="AQ12" s="1"/>
  <c r="AQ11" s="1"/>
  <c r="AQ10" s="1"/>
  <c r="AQ9" s="1"/>
  <c r="AQ8" s="1"/>
  <c r="AQ7" s="1"/>
  <c r="AQ6" s="1"/>
  <c r="AQ5" s="1"/>
  <c r="AQ4" s="1"/>
  <c r="AQ3" s="1"/>
  <c r="AQ2" s="1"/>
  <c r="F43"/>
  <c r="AS42"/>
  <c r="F42"/>
  <c r="AS41"/>
  <c r="F41"/>
  <c r="AS40"/>
  <c r="F40"/>
  <c r="AS39"/>
  <c r="F39"/>
  <c r="AS38"/>
  <c r="AS37" s="1"/>
  <c r="AS36" s="1"/>
  <c r="AS35" s="1"/>
  <c r="AS34" s="1"/>
  <c r="AS33" s="1"/>
  <c r="AS32" s="1"/>
  <c r="AS31" s="1"/>
  <c r="AS30" s="1"/>
  <c r="AS29" s="1"/>
  <c r="AS28" s="1"/>
  <c r="AS27" s="1"/>
  <c r="AS26" s="1"/>
  <c r="AS25" s="1"/>
  <c r="AS24" s="1"/>
  <c r="AS23" s="1"/>
  <c r="AS22" s="1"/>
  <c r="AS21" s="1"/>
  <c r="AS20" s="1"/>
  <c r="AS19" s="1"/>
  <c r="AS18" s="1"/>
  <c r="AS17" s="1"/>
  <c r="AS16" s="1"/>
  <c r="AS15" s="1"/>
  <c r="AS14" s="1"/>
  <c r="AS13" s="1"/>
  <c r="AS12" s="1"/>
  <c r="AS11" s="1"/>
  <c r="AS10" s="1"/>
  <c r="AS9" s="1"/>
  <c r="AS8" s="1"/>
  <c r="AS7" s="1"/>
  <c r="AS6" s="1"/>
  <c r="AS5" s="1"/>
  <c r="AS4" s="1"/>
  <c r="F38"/>
  <c r="F37"/>
  <c r="F36"/>
  <c r="F35"/>
  <c r="F34" s="1"/>
  <c r="F33" s="1"/>
  <c r="F32" s="1"/>
  <c r="F31" s="1"/>
  <c r="F30" s="1"/>
  <c r="F29" s="1"/>
  <c r="F28" s="1"/>
  <c r="F27" s="1"/>
  <c r="F26" s="1"/>
  <c r="F25" s="1"/>
  <c r="F24" s="1"/>
  <c r="F23" s="1"/>
  <c r="F22" s="1"/>
  <c r="F21" s="1"/>
  <c r="F20" s="1"/>
  <c r="F19" s="1"/>
  <c r="F18" s="1"/>
  <c r="F17" s="1"/>
  <c r="F16" s="1"/>
  <c r="F15" s="1"/>
  <c r="F14" s="1"/>
  <c r="F13" s="1"/>
  <c r="F12" s="1"/>
  <c r="F11" s="1"/>
  <c r="F10" s="1"/>
  <c r="F9" s="1"/>
  <c r="F8" s="1"/>
  <c r="F7" s="1"/>
  <c r="F6" s="1"/>
  <c r="F5" s="1"/>
  <c r="F4" s="1"/>
  <c r="C3" i="11" l="1"/>
  <c r="C37" s="1"/>
  <c r="C30"/>
  <c r="C22"/>
  <c r="C18"/>
  <c r="C14"/>
  <c r="C10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9"/>
  <c r="B8"/>
  <c r="C8" l="1"/>
  <c r="C15"/>
  <c r="C23"/>
  <c r="C31"/>
  <c r="C26"/>
  <c r="C34"/>
  <c r="C11"/>
  <c r="C19"/>
  <c r="C27"/>
  <c r="C35"/>
  <c r="C7"/>
  <c r="C12"/>
  <c r="C16"/>
  <c r="C20"/>
  <c r="C24"/>
  <c r="C28"/>
  <c r="C32"/>
  <c r="C36"/>
  <c r="C9"/>
  <c r="C13"/>
  <c r="C17"/>
  <c r="C21"/>
  <c r="C25"/>
  <c r="C29"/>
  <c r="C33"/>
  <c r="M65" i="9" l="1"/>
  <c r="L65"/>
  <c r="CQ37" i="11" s="1"/>
  <c r="C65" i="9"/>
  <c r="B65"/>
  <c r="C64"/>
  <c r="AK61"/>
  <c r="AE61"/>
  <c r="AB61"/>
  <c r="G61"/>
  <c r="C59"/>
  <c r="C58"/>
  <c r="C57"/>
  <c r="AK54"/>
  <c r="AE54"/>
  <c r="AB54"/>
  <c r="G54"/>
  <c r="C52"/>
  <c r="C51"/>
  <c r="C50"/>
  <c r="AK47"/>
  <c r="AE47"/>
  <c r="AB47"/>
  <c r="G47"/>
  <c r="C45"/>
  <c r="C44"/>
  <c r="C43"/>
  <c r="C42"/>
  <c r="C41"/>
  <c r="AK38"/>
  <c r="AE38"/>
  <c r="AB38"/>
  <c r="G38"/>
  <c r="C36"/>
  <c r="C35"/>
  <c r="C34"/>
  <c r="AK31"/>
  <c r="AE31"/>
  <c r="AB31"/>
  <c r="G31"/>
  <c r="C29"/>
  <c r="C28"/>
  <c r="C27"/>
  <c r="C26"/>
  <c r="AK23"/>
  <c r="AE23"/>
  <c r="AB23"/>
  <c r="G23"/>
  <c r="C21"/>
  <c r="B21"/>
  <c r="C20"/>
  <c r="B20"/>
  <c r="C19"/>
  <c r="B19"/>
  <c r="AK16"/>
  <c r="AE16"/>
  <c r="AB16"/>
  <c r="U16"/>
  <c r="Q16"/>
  <c r="N16"/>
  <c r="G16"/>
  <c r="C14"/>
  <c r="C13"/>
  <c r="AK10"/>
  <c r="AE10"/>
  <c r="AB10"/>
  <c r="G10"/>
  <c r="M8"/>
  <c r="L8"/>
  <c r="M7"/>
  <c r="L7"/>
  <c r="K7"/>
  <c r="AM5"/>
  <c r="U4"/>
  <c r="D4"/>
  <c r="M65" i="2"/>
  <c r="L65"/>
  <c r="CI37" i="11" s="1"/>
  <c r="C65" i="2"/>
  <c r="B65"/>
  <c r="C64"/>
  <c r="AK61"/>
  <c r="AE61"/>
  <c r="AB61"/>
  <c r="G61"/>
  <c r="C59"/>
  <c r="C58"/>
  <c r="C57"/>
  <c r="AK54"/>
  <c r="AE54"/>
  <c r="AB54"/>
  <c r="G54"/>
  <c r="C52"/>
  <c r="C51"/>
  <c r="C50"/>
  <c r="AK47"/>
  <c r="AE47"/>
  <c r="AB47"/>
  <c r="G47"/>
  <c r="C45"/>
  <c r="C44"/>
  <c r="C43"/>
  <c r="C42"/>
  <c r="C41"/>
  <c r="AK38"/>
  <c r="AE38"/>
  <c r="AB38"/>
  <c r="G38"/>
  <c r="C36"/>
  <c r="C35"/>
  <c r="C34"/>
  <c r="AK31"/>
  <c r="AE31"/>
  <c r="AB31"/>
  <c r="G31"/>
  <c r="C29"/>
  <c r="C28"/>
  <c r="C27"/>
  <c r="C26"/>
  <c r="AK23"/>
  <c r="AE23"/>
  <c r="AB23"/>
  <c r="G23"/>
  <c r="C21"/>
  <c r="B21"/>
  <c r="C20"/>
  <c r="B20"/>
  <c r="C19"/>
  <c r="B19"/>
  <c r="AK16"/>
  <c r="AE16"/>
  <c r="AB16"/>
  <c r="U16"/>
  <c r="Q16"/>
  <c r="N16"/>
  <c r="G16"/>
  <c r="C14"/>
  <c r="C13"/>
  <c r="AK10"/>
  <c r="AE10"/>
  <c r="AB10"/>
  <c r="G10"/>
  <c r="M8"/>
  <c r="L8"/>
  <c r="M7"/>
  <c r="L7"/>
  <c r="K7"/>
  <c r="AM5"/>
  <c r="U4"/>
  <c r="D4"/>
  <c r="AP37" i="11"/>
  <c r="CD37" s="1"/>
  <c r="AL37"/>
  <c r="E65" i="9" s="1"/>
  <c r="K65" s="1"/>
  <c r="AK37" i="11"/>
  <c r="D65" i="2" s="1"/>
  <c r="AK36" i="11"/>
  <c r="D64" i="2" s="1"/>
  <c r="AI36" i="11"/>
  <c r="Q36"/>
  <c r="BJ35"/>
  <c r="AP35"/>
  <c r="AK35"/>
  <c r="AR35" s="1"/>
  <c r="BL35" s="1"/>
  <c r="AI34"/>
  <c r="AP34" s="1"/>
  <c r="AG34"/>
  <c r="AF34"/>
  <c r="AE34"/>
  <c r="AD34"/>
  <c r="AC34"/>
  <c r="AB34"/>
  <c r="AA34"/>
  <c r="Z34"/>
  <c r="Q34"/>
  <c r="Q33" s="1"/>
  <c r="Q32" s="1"/>
  <c r="Q30" s="1"/>
  <c r="Q29" s="1"/>
  <c r="Q28" s="1"/>
  <c r="Q26" s="1"/>
  <c r="Q25" s="1"/>
  <c r="Q24" s="1"/>
  <c r="Q23" s="1"/>
  <c r="Q22" s="1"/>
  <c r="Q20" s="1"/>
  <c r="Q19" s="1"/>
  <c r="Q18" s="1"/>
  <c r="Q16" s="1"/>
  <c r="Q15" s="1"/>
  <c r="Q14" s="1"/>
  <c r="Q13" s="1"/>
  <c r="AK32"/>
  <c r="D57" i="2" s="1"/>
  <c r="BJ31" i="11"/>
  <c r="AP31"/>
  <c r="AK31"/>
  <c r="AG31"/>
  <c r="AG32" s="1"/>
  <c r="AF31"/>
  <c r="AF32" s="1"/>
  <c r="K16" i="9" s="1"/>
  <c r="AE31" i="11"/>
  <c r="AE32" s="1"/>
  <c r="K23" i="9" s="1"/>
  <c r="AD31" i="11"/>
  <c r="AD32" s="1"/>
  <c r="K31" i="9" s="1"/>
  <c r="AC31" i="11"/>
  <c r="AC32" s="1"/>
  <c r="AB31"/>
  <c r="AB32" s="1"/>
  <c r="K47" i="2" s="1"/>
  <c r="AA31" i="11"/>
  <c r="AA32" s="1"/>
  <c r="Z31"/>
  <c r="Z32" s="1"/>
  <c r="AG30"/>
  <c r="AG35" s="1"/>
  <c r="AF30"/>
  <c r="AF35" s="1"/>
  <c r="AE30"/>
  <c r="AE35" s="1"/>
  <c r="AD30"/>
  <c r="AD35" s="1"/>
  <c r="AC30"/>
  <c r="AC35" s="1"/>
  <c r="AB30"/>
  <c r="AB35" s="1"/>
  <c r="AA30"/>
  <c r="AA35" s="1"/>
  <c r="Z30"/>
  <c r="Z35" s="1"/>
  <c r="AG29"/>
  <c r="AM5" s="1"/>
  <c r="AF29"/>
  <c r="AM8" s="1"/>
  <c r="AE29"/>
  <c r="AM12" s="1"/>
  <c r="AD29"/>
  <c r="AC29"/>
  <c r="AB29"/>
  <c r="AK23" s="1"/>
  <c r="AA29"/>
  <c r="AM31" s="1"/>
  <c r="Z29"/>
  <c r="AK34" s="1"/>
  <c r="D59" i="2" s="1"/>
  <c r="AK28" i="11"/>
  <c r="AG28"/>
  <c r="AF28"/>
  <c r="AE28"/>
  <c r="AD28"/>
  <c r="AC28"/>
  <c r="AB28"/>
  <c r="AA28"/>
  <c r="Z28"/>
  <c r="BJ27"/>
  <c r="AP27"/>
  <c r="AK27"/>
  <c r="B47" i="9" s="1"/>
  <c r="BJ21" i="11"/>
  <c r="AP21"/>
  <c r="AK21"/>
  <c r="AR21" s="1"/>
  <c r="BL21" s="1"/>
  <c r="BJ17"/>
  <c r="AP17"/>
  <c r="AM17"/>
  <c r="AK17"/>
  <c r="AR17" s="1"/>
  <c r="Z15"/>
  <c r="AK13"/>
  <c r="D26" i="2" s="1"/>
  <c r="BJ12" i="11"/>
  <c r="AP12"/>
  <c r="AK12"/>
  <c r="AR12" s="1"/>
  <c r="AP11"/>
  <c r="CD11" s="1"/>
  <c r="AK11"/>
  <c r="D21" i="9" s="1"/>
  <c r="AP10" i="11"/>
  <c r="BJ10" s="1"/>
  <c r="BQ9"/>
  <c r="AP9"/>
  <c r="AK9"/>
  <c r="BJ8"/>
  <c r="AP8"/>
  <c r="AK8"/>
  <c r="AR8" s="1"/>
  <c r="AI7"/>
  <c r="AP7" s="1"/>
  <c r="Q7"/>
  <c r="Q6" s="1"/>
  <c r="BJ5"/>
  <c r="AP5"/>
  <c r="AK5"/>
  <c r="AR5" s="1"/>
  <c r="CG3"/>
  <c r="CF3"/>
  <c r="CE3"/>
  <c r="CD3"/>
  <c r="CG2"/>
  <c r="CF2"/>
  <c r="CE2"/>
  <c r="CD2"/>
  <c r="AW37" l="1"/>
  <c r="B47" i="2"/>
  <c r="D59" i="9"/>
  <c r="B10"/>
  <c r="AA15" i="11"/>
  <c r="AM27"/>
  <c r="CD10"/>
  <c r="CF21"/>
  <c r="X15"/>
  <c r="F4" i="9" s="1"/>
  <c r="BJ37" i="11"/>
  <c r="K16" i="2"/>
  <c r="B38"/>
  <c r="D64" i="9"/>
  <c r="AK22" i="11"/>
  <c r="AL22" s="1"/>
  <c r="AR27"/>
  <c r="BL27" s="1"/>
  <c r="AM37"/>
  <c r="F65" i="9" s="1"/>
  <c r="B61" i="2"/>
  <c r="B14" i="9"/>
  <c r="AM21" i="11"/>
  <c r="AK6"/>
  <c r="AC36"/>
  <c r="K38" i="2"/>
  <c r="K38" i="9"/>
  <c r="AA33" i="11"/>
  <c r="AA36"/>
  <c r="K54" i="9"/>
  <c r="AC33" i="11"/>
  <c r="AP36"/>
  <c r="CD36" s="1"/>
  <c r="B64" i="9"/>
  <c r="B64" i="2"/>
  <c r="K31"/>
  <c r="K54"/>
  <c r="BA28" i="11"/>
  <c r="D50" i="2"/>
  <c r="D50" i="9"/>
  <c r="AG36" i="11"/>
  <c r="K10" i="9"/>
  <c r="K10" i="2"/>
  <c r="AK10" i="11"/>
  <c r="K61" i="2"/>
  <c r="K61" i="9"/>
  <c r="AR31" i="11"/>
  <c r="B54" i="2"/>
  <c r="B54" i="9"/>
  <c r="AL13" i="11"/>
  <c r="BA13"/>
  <c r="AM13"/>
  <c r="D26" i="9"/>
  <c r="AE33" i="11"/>
  <c r="K23" i="2"/>
  <c r="AE36" i="11"/>
  <c r="D21" i="2"/>
  <c r="F65"/>
  <c r="CD9" i="11"/>
  <c r="BJ9"/>
  <c r="AQ23"/>
  <c r="BK23" s="1"/>
  <c r="D42" i="2"/>
  <c r="D42" i="9"/>
  <c r="AL23" i="11"/>
  <c r="K4" i="9"/>
  <c r="K4" i="2"/>
  <c r="Y15" i="11"/>
  <c r="F4" i="2"/>
  <c r="CL9" i="11"/>
  <c r="BA9"/>
  <c r="B23" i="2"/>
  <c r="B59"/>
  <c r="E65"/>
  <c r="K65" s="1"/>
  <c r="AV37" i="11" s="1"/>
  <c r="B38" i="9"/>
  <c r="B61"/>
  <c r="AK16" i="11"/>
  <c r="AK24"/>
  <c r="AK25"/>
  <c r="AQ25" s="1"/>
  <c r="AL32"/>
  <c r="BA32"/>
  <c r="AI33"/>
  <c r="B10" i="2"/>
  <c r="B14"/>
  <c r="B16" i="9"/>
  <c r="D19"/>
  <c r="B31"/>
  <c r="K47"/>
  <c r="D65"/>
  <c r="AQ9" i="11"/>
  <c r="CE9" s="1"/>
  <c r="AI6"/>
  <c r="AK7"/>
  <c r="BJ11"/>
  <c r="AK14"/>
  <c r="AM32"/>
  <c r="B16" i="2"/>
  <c r="D19"/>
  <c r="B31"/>
  <c r="B23" i="9"/>
  <c r="D57"/>
  <c r="B59"/>
  <c r="BJ7" i="11"/>
  <c r="CD7"/>
  <c r="CF12"/>
  <c r="BL12"/>
  <c r="BL5"/>
  <c r="CF5"/>
  <c r="CF17"/>
  <c r="BL17"/>
  <c r="CE23"/>
  <c r="CF8"/>
  <c r="BL8"/>
  <c r="AQ7"/>
  <c r="CM9"/>
  <c r="AQ11"/>
  <c r="CL28"/>
  <c r="AL28"/>
  <c r="CM28"/>
  <c r="AK29"/>
  <c r="AL6"/>
  <c r="AM6" s="1"/>
  <c r="AL7"/>
  <c r="AL9"/>
  <c r="BK9"/>
  <c r="BU9" s="1"/>
  <c r="AL11"/>
  <c r="CL13"/>
  <c r="W15"/>
  <c r="AL16"/>
  <c r="AM16" s="1"/>
  <c r="AK18"/>
  <c r="AS21"/>
  <c r="AL25"/>
  <c r="AM25" s="1"/>
  <c r="CF27"/>
  <c r="AM28"/>
  <c r="Z36"/>
  <c r="Z33"/>
  <c r="AD36"/>
  <c r="AD33"/>
  <c r="AG33"/>
  <c r="CF35"/>
  <c r="AQ6"/>
  <c r="AM9"/>
  <c r="AQ10"/>
  <c r="AQ13"/>
  <c r="CM13"/>
  <c r="AQ14"/>
  <c r="AK15"/>
  <c r="AK19"/>
  <c r="AA37"/>
  <c r="AS31"/>
  <c r="AM36"/>
  <c r="AL36"/>
  <c r="AM7"/>
  <c r="AQ16"/>
  <c r="AK20"/>
  <c r="AK26"/>
  <c r="AQ28"/>
  <c r="AL34"/>
  <c r="AQ34"/>
  <c r="AK30"/>
  <c r="AB33"/>
  <c r="AB36"/>
  <c r="AF33"/>
  <c r="AF36"/>
  <c r="CD34"/>
  <c r="BJ34"/>
  <c r="AQ36"/>
  <c r="BJ36"/>
  <c r="CL32"/>
  <c r="AM35"/>
  <c r="AQ32"/>
  <c r="CM32"/>
  <c r="AK33"/>
  <c r="AQ37"/>
  <c r="D41" i="2" l="1"/>
  <c r="AQ22" i="11"/>
  <c r="D41" i="9"/>
  <c r="AM22" i="11"/>
  <c r="F64" i="9"/>
  <c r="F64" i="2"/>
  <c r="AN47"/>
  <c r="AN47" i="9"/>
  <c r="F57" i="2"/>
  <c r="F57" i="9"/>
  <c r="AP6" i="11"/>
  <c r="B13" i="9"/>
  <c r="B13" i="2"/>
  <c r="D44" i="9"/>
  <c r="D44" i="2"/>
  <c r="AE37" i="11"/>
  <c r="AS12"/>
  <c r="AN23" i="2"/>
  <c r="AN23" i="9"/>
  <c r="E26" i="2"/>
  <c r="E26" i="9"/>
  <c r="AN16"/>
  <c r="AN16" i="2"/>
  <c r="D58" i="9"/>
  <c r="D58" i="2"/>
  <c r="F13" i="9"/>
  <c r="F13" i="2"/>
  <c r="F29"/>
  <c r="F29" i="9"/>
  <c r="AN61" i="2"/>
  <c r="AN61" i="9"/>
  <c r="E19"/>
  <c r="E19" i="2"/>
  <c r="D52" i="9"/>
  <c r="D52" i="2"/>
  <c r="D36"/>
  <c r="D36" i="9"/>
  <c r="E64" i="2"/>
  <c r="E64" i="9"/>
  <c r="D28" i="2"/>
  <c r="D28" i="9"/>
  <c r="AN10"/>
  <c r="AN10" i="2"/>
  <c r="E44"/>
  <c r="E44" i="9"/>
  <c r="D34"/>
  <c r="D34" i="2"/>
  <c r="E14" i="9"/>
  <c r="E14" i="2"/>
  <c r="E50"/>
  <c r="E50" i="9"/>
  <c r="AL14" i="11"/>
  <c r="D27" i="2"/>
  <c r="D27" i="9"/>
  <c r="AP33" i="11"/>
  <c r="B58" i="2"/>
  <c r="B58" i="9"/>
  <c r="AI32" i="11"/>
  <c r="D43" i="9"/>
  <c r="AL24" i="11"/>
  <c r="D43" i="2"/>
  <c r="AQ24" i="11"/>
  <c r="AN54" i="9"/>
  <c r="AN54" i="2"/>
  <c r="D13"/>
  <c r="D13" i="9"/>
  <c r="F44" i="2"/>
  <c r="F44" i="9"/>
  <c r="F19"/>
  <c r="F19" i="2"/>
  <c r="AN31" i="9"/>
  <c r="AN31" i="2"/>
  <c r="E29" i="9"/>
  <c r="E29" i="2"/>
  <c r="AM11" i="11"/>
  <c r="E21" i="2"/>
  <c r="E21" i="9"/>
  <c r="E13"/>
  <c r="E13" i="2"/>
  <c r="D29" i="9"/>
  <c r="D29" i="2"/>
  <c r="E42" i="9"/>
  <c r="E42" i="2"/>
  <c r="F26"/>
  <c r="F26" i="9"/>
  <c r="AL10" i="11"/>
  <c r="D20" i="9"/>
  <c r="D20" i="2"/>
  <c r="E41"/>
  <c r="E41" i="9"/>
  <c r="AC37" i="11"/>
  <c r="AN38" i="2"/>
  <c r="AN38" i="9"/>
  <c r="AM34" i="11"/>
  <c r="E59" i="2"/>
  <c r="E59" i="9"/>
  <c r="D45" i="2"/>
  <c r="D45" i="9"/>
  <c r="F14" i="2"/>
  <c r="F14" i="9"/>
  <c r="D35"/>
  <c r="D35" i="2"/>
  <c r="F50" i="9"/>
  <c r="F50" i="2"/>
  <c r="F41" i="9"/>
  <c r="F41" i="2"/>
  <c r="D51"/>
  <c r="D51" i="9"/>
  <c r="D14"/>
  <c r="D14" i="2"/>
  <c r="E57" i="9"/>
  <c r="E57" i="2"/>
  <c r="H4"/>
  <c r="H4" i="9"/>
  <c r="CF31" i="11"/>
  <c r="BL31"/>
  <c r="AM23"/>
  <c r="BK34"/>
  <c r="CE34"/>
  <c r="AL15"/>
  <c r="AQ15"/>
  <c r="AL33"/>
  <c r="AM33" s="1"/>
  <c r="AQ33"/>
  <c r="CE36"/>
  <c r="BK36"/>
  <c r="AS8"/>
  <c r="AF37"/>
  <c r="BK28"/>
  <c r="BU28" s="1"/>
  <c r="CE28"/>
  <c r="AL20"/>
  <c r="AQ20"/>
  <c r="CE6"/>
  <c r="BK6"/>
  <c r="AG37"/>
  <c r="AS5"/>
  <c r="AC15"/>
  <c r="BM21"/>
  <c r="CG21"/>
  <c r="AQ26"/>
  <c r="AL26"/>
  <c r="CG31"/>
  <c r="BM31"/>
  <c r="AL19"/>
  <c r="AQ19"/>
  <c r="BK14"/>
  <c r="CE14"/>
  <c r="AD37"/>
  <c r="AS17"/>
  <c r="AL18"/>
  <c r="AQ18"/>
  <c r="BK32"/>
  <c r="BU32" s="1"/>
  <c r="CE32"/>
  <c r="AB37"/>
  <c r="AS27"/>
  <c r="CE16"/>
  <c r="BK16"/>
  <c r="BK10"/>
  <c r="CE10"/>
  <c r="AL29"/>
  <c r="AM29" s="1"/>
  <c r="AQ29"/>
  <c r="CE7"/>
  <c r="BK7"/>
  <c r="BK37"/>
  <c r="CE37"/>
  <c r="AL30"/>
  <c r="AQ30"/>
  <c r="CE25"/>
  <c r="BK25"/>
  <c r="BK13"/>
  <c r="BU13" s="1"/>
  <c r="CE13"/>
  <c r="Z37"/>
  <c r="AS35"/>
  <c r="CE11"/>
  <c r="BK11"/>
  <c r="U65" i="9"/>
  <c r="X65"/>
  <c r="Y63"/>
  <c r="X63"/>
  <c r="Y62"/>
  <c r="X62"/>
  <c r="Y56"/>
  <c r="X56"/>
  <c r="Y55"/>
  <c r="X55"/>
  <c r="Y49"/>
  <c r="X49"/>
  <c r="Y48"/>
  <c r="X48"/>
  <c r="Y40"/>
  <c r="X40"/>
  <c r="Y39"/>
  <c r="X39"/>
  <c r="Y33"/>
  <c r="X33"/>
  <c r="Y32"/>
  <c r="X32"/>
  <c r="Y25"/>
  <c r="X25"/>
  <c r="Y24"/>
  <c r="X24"/>
  <c r="X21"/>
  <c r="X20"/>
  <c r="X19"/>
  <c r="Y18"/>
  <c r="X18"/>
  <c r="Y17"/>
  <c r="X17"/>
  <c r="Y12"/>
  <c r="X12"/>
  <c r="Y11"/>
  <c r="X11"/>
  <c r="U7"/>
  <c r="Z7" s="1"/>
  <c r="T7"/>
  <c r="G7"/>
  <c r="H7" s="1"/>
  <c r="BK22" i="11" l="1"/>
  <c r="CE22"/>
  <c r="AM19"/>
  <c r="E35" i="9"/>
  <c r="E35" i="2"/>
  <c r="AM10" i="11"/>
  <c r="E20" i="9"/>
  <c r="E20" i="2"/>
  <c r="AM30" i="11"/>
  <c r="E52" i="9"/>
  <c r="E52" i="2"/>
  <c r="AM26" i="11"/>
  <c r="E45" i="2"/>
  <c r="E45" i="9"/>
  <c r="O4"/>
  <c r="O4" i="2"/>
  <c r="F58"/>
  <c r="F58" i="9"/>
  <c r="F21" i="2"/>
  <c r="F21" i="9"/>
  <c r="E43"/>
  <c r="E43" i="2"/>
  <c r="AM14" i="11"/>
  <c r="E27" i="2"/>
  <c r="E27" i="9"/>
  <c r="E28"/>
  <c r="E28" i="2"/>
  <c r="CE24" i="11"/>
  <c r="BK24"/>
  <c r="BJ33"/>
  <c r="CD33"/>
  <c r="CD6"/>
  <c r="BJ6"/>
  <c r="E51" i="9"/>
  <c r="E51" i="2"/>
  <c r="E58"/>
  <c r="E58" i="9"/>
  <c r="F42"/>
  <c r="F42" i="2"/>
  <c r="AM24" i="11"/>
  <c r="AP32"/>
  <c r="AI30"/>
  <c r="B57" i="2"/>
  <c r="B57" i="9"/>
  <c r="E36" i="2"/>
  <c r="E36" i="9"/>
  <c r="F59"/>
  <c r="F59" i="2"/>
  <c r="F51" i="9"/>
  <c r="F51" i="2"/>
  <c r="AM18" i="11"/>
  <c r="E34" i="9"/>
  <c r="E34" i="2"/>
  <c r="AM20" i="11"/>
  <c r="AM15"/>
  <c r="CG12"/>
  <c r="BM12"/>
  <c r="CE30"/>
  <c r="BK30"/>
  <c r="BM35"/>
  <c r="CG35"/>
  <c r="AE15"/>
  <c r="BK26"/>
  <c r="CE26"/>
  <c r="BK33"/>
  <c r="CE33"/>
  <c r="CG27"/>
  <c r="BM27"/>
  <c r="BK18"/>
  <c r="CE18"/>
  <c r="BM5"/>
  <c r="CG5"/>
  <c r="BK20"/>
  <c r="CE20"/>
  <c r="BK15"/>
  <c r="CE15"/>
  <c r="CE29"/>
  <c r="BK29"/>
  <c r="CG17"/>
  <c r="BM17"/>
  <c r="BK19"/>
  <c r="CE19"/>
  <c r="CG8"/>
  <c r="BM8"/>
  <c r="T65" i="9"/>
  <c r="T8" s="1"/>
  <c r="Z65"/>
  <c r="U8"/>
  <c r="AB7"/>
  <c r="J7"/>
  <c r="I7" s="1"/>
  <c r="X64"/>
  <c r="X61"/>
  <c r="X59"/>
  <c r="X54"/>
  <c r="X47"/>
  <c r="X38"/>
  <c r="X31"/>
  <c r="X23"/>
  <c r="X16"/>
  <c r="X10"/>
  <c r="AG15" i="11" l="1"/>
  <c r="R4" i="2"/>
  <c r="R4" i="9"/>
  <c r="F36"/>
  <c r="F36" i="2"/>
  <c r="AP30" i="11"/>
  <c r="B52" i="9"/>
  <c r="B52" i="2"/>
  <c r="AI29" i="11"/>
  <c r="F20" i="2"/>
  <c r="F20" i="9"/>
  <c r="BJ32" i="11"/>
  <c r="CD32"/>
  <c r="F52" i="2"/>
  <c r="F52" i="9"/>
  <c r="F43" i="2"/>
  <c r="F43" i="9"/>
  <c r="F45"/>
  <c r="F45" i="2"/>
  <c r="F28" i="9"/>
  <c r="F28" i="2"/>
  <c r="F34"/>
  <c r="F34" i="9"/>
  <c r="F27"/>
  <c r="F27" i="2"/>
  <c r="F35"/>
  <c r="F35" i="9"/>
  <c r="AB65"/>
  <c r="AC65" s="1"/>
  <c r="X13"/>
  <c r="X14"/>
  <c r="AR26"/>
  <c r="AR50"/>
  <c r="AR19"/>
  <c r="AR57"/>
  <c r="AC7"/>
  <c r="AF7"/>
  <c r="AA7"/>
  <c r="O7" s="1"/>
  <c r="CD30" i="11" l="1"/>
  <c r="BJ30"/>
  <c r="AP29"/>
  <c r="B51" i="9"/>
  <c r="AI28" i="11"/>
  <c r="B51" i="2"/>
  <c r="CW13" i="11"/>
  <c r="CW28"/>
  <c r="CW9"/>
  <c r="CW32"/>
  <c r="X58" i="9"/>
  <c r="AM19"/>
  <c r="Y19"/>
  <c r="AP19"/>
  <c r="AL19"/>
  <c r="AJ19"/>
  <c r="AK19"/>
  <c r="AQ19"/>
  <c r="AH19"/>
  <c r="AN19"/>
  <c r="AO19" s="1"/>
  <c r="AI19"/>
  <c r="AF26"/>
  <c r="R26"/>
  <c r="J26"/>
  <c r="T26"/>
  <c r="AC26"/>
  <c r="M26"/>
  <c r="AA26"/>
  <c r="K26"/>
  <c r="P26"/>
  <c r="S26"/>
  <c r="U26"/>
  <c r="N26"/>
  <c r="AE26"/>
  <c r="Q26"/>
  <c r="Z26"/>
  <c r="H26"/>
  <c r="G26"/>
  <c r="I26"/>
  <c r="AD26"/>
  <c r="L26"/>
  <c r="O26"/>
  <c r="AB26"/>
  <c r="AE50"/>
  <c r="AD50"/>
  <c r="N50"/>
  <c r="AF50"/>
  <c r="J50"/>
  <c r="G50"/>
  <c r="I50"/>
  <c r="AA50"/>
  <c r="AC50"/>
  <c r="T50"/>
  <c r="S50"/>
  <c r="K50"/>
  <c r="O50"/>
  <c r="L50"/>
  <c r="M50"/>
  <c r="H50"/>
  <c r="Z50"/>
  <c r="AB50"/>
  <c r="U50"/>
  <c r="P50"/>
  <c r="R50"/>
  <c r="Q50"/>
  <c r="AE19"/>
  <c r="AF19"/>
  <c r="N19"/>
  <c r="G19"/>
  <c r="AD19"/>
  <c r="L19"/>
  <c r="R19"/>
  <c r="K19"/>
  <c r="S19"/>
  <c r="AB19"/>
  <c r="Z19"/>
  <c r="P19"/>
  <c r="H19"/>
  <c r="AC19"/>
  <c r="U19"/>
  <c r="J19"/>
  <c r="I19"/>
  <c r="AA19"/>
  <c r="T19"/>
  <c r="Q19"/>
  <c r="O19"/>
  <c r="M19"/>
  <c r="AQ26"/>
  <c r="AH26"/>
  <c r="AN26"/>
  <c r="Y26"/>
  <c r="AP26"/>
  <c r="AK26"/>
  <c r="AL26"/>
  <c r="AM26"/>
  <c r="AJ26"/>
  <c r="AI26"/>
  <c r="AQ57"/>
  <c r="AN57"/>
  <c r="AJ57"/>
  <c r="Y57"/>
  <c r="AI57"/>
  <c r="AP57"/>
  <c r="AL57"/>
  <c r="AM57"/>
  <c r="AK57"/>
  <c r="AH57"/>
  <c r="AF57"/>
  <c r="K57"/>
  <c r="R57"/>
  <c r="N57"/>
  <c r="T57"/>
  <c r="J57"/>
  <c r="Q57"/>
  <c r="AE57"/>
  <c r="S57"/>
  <c r="P57"/>
  <c r="O57"/>
  <c r="M57"/>
  <c r="I57"/>
  <c r="Z57"/>
  <c r="H57"/>
  <c r="AB57"/>
  <c r="G57"/>
  <c r="AD57"/>
  <c r="L57"/>
  <c r="AC57"/>
  <c r="AA57"/>
  <c r="U57"/>
  <c r="AM50"/>
  <c r="AJ50"/>
  <c r="AH50"/>
  <c r="AP50"/>
  <c r="AN50"/>
  <c r="Y50"/>
  <c r="AQ50"/>
  <c r="AK50"/>
  <c r="AI50"/>
  <c r="AL50"/>
  <c r="AH64"/>
  <c r="Y64"/>
  <c r="X57"/>
  <c r="P7"/>
  <c r="Q7"/>
  <c r="R7" s="1"/>
  <c r="S7"/>
  <c r="AD7"/>
  <c r="AE7" s="1"/>
  <c r="N7" s="1"/>
  <c r="AO50" l="1"/>
  <c r="BS28" i="11" s="1"/>
  <c r="CD29"/>
  <c r="BJ29"/>
  <c r="AI26"/>
  <c r="B50" i="9"/>
  <c r="B50" i="2"/>
  <c r="AP28" i="11"/>
  <c r="BT28"/>
  <c r="CV28"/>
  <c r="CS32"/>
  <c r="CQ32"/>
  <c r="BQ32"/>
  <c r="BQ33"/>
  <c r="CR32"/>
  <c r="BR32"/>
  <c r="BR33"/>
  <c r="CV32"/>
  <c r="CS9"/>
  <c r="CS28"/>
  <c r="CV9"/>
  <c r="BT9"/>
  <c r="BO33"/>
  <c r="BO32"/>
  <c r="BP33"/>
  <c r="BP32"/>
  <c r="BO9"/>
  <c r="BO10"/>
  <c r="BP10"/>
  <c r="BP9"/>
  <c r="CR28"/>
  <c r="CQ28"/>
  <c r="BQ28"/>
  <c r="BQ13"/>
  <c r="BQ14"/>
  <c r="CQ13"/>
  <c r="BP14"/>
  <c r="BP13"/>
  <c r="BT13"/>
  <c r="CV13"/>
  <c r="BR10"/>
  <c r="BR9"/>
  <c r="BR28"/>
  <c r="BO28"/>
  <c r="BO14"/>
  <c r="BO13"/>
  <c r="BS9"/>
  <c r="BT32"/>
  <c r="CQ9"/>
  <c r="BP28"/>
  <c r="CR13"/>
  <c r="CS13"/>
  <c r="BR14"/>
  <c r="BR13"/>
  <c r="X52" i="9"/>
  <c r="AO57"/>
  <c r="AO26"/>
  <c r="B45" l="1"/>
  <c r="B45" i="2"/>
  <c r="AI25" i="11"/>
  <c r="AP26"/>
  <c r="CD28"/>
  <c r="BJ28"/>
  <c r="BS13"/>
  <c r="BS32"/>
  <c r="X51" i="9"/>
  <c r="CD26" i="11" l="1"/>
  <c r="BJ26"/>
  <c r="B44" i="2"/>
  <c r="B44" i="9"/>
  <c r="AP25" i="11"/>
  <c r="AI24"/>
  <c r="X50" i="9"/>
  <c r="B43" l="1"/>
  <c r="B43" i="2"/>
  <c r="AP24" i="11"/>
  <c r="AI23"/>
  <c r="BJ25"/>
  <c r="CD25"/>
  <c r="X45" i="9"/>
  <c r="B42" l="1"/>
  <c r="B42" i="2"/>
  <c r="AP23" i="11"/>
  <c r="AI22"/>
  <c r="CD24"/>
  <c r="BJ24"/>
  <c r="X44" i="9"/>
  <c r="B41" l="1"/>
  <c r="B41" i="2"/>
  <c r="AP22" i="11"/>
  <c r="AI20"/>
  <c r="CD23"/>
  <c r="BJ23"/>
  <c r="X43" i="9"/>
  <c r="B36" l="1"/>
  <c r="B36" i="2"/>
  <c r="AP20" i="11"/>
  <c r="AI19"/>
  <c r="BJ22"/>
  <c r="CD22"/>
  <c r="X42" i="9"/>
  <c r="G7" i="2"/>
  <c r="Y63"/>
  <c r="X63"/>
  <c r="Y62"/>
  <c r="X62"/>
  <c r="Y56"/>
  <c r="X56"/>
  <c r="Y55"/>
  <c r="X55"/>
  <c r="Y49"/>
  <c r="X49"/>
  <c r="Y48"/>
  <c r="X48"/>
  <c r="Y40"/>
  <c r="X40"/>
  <c r="Y39"/>
  <c r="X39"/>
  <c r="Y33"/>
  <c r="X33"/>
  <c r="Y32"/>
  <c r="X32"/>
  <c r="Y25"/>
  <c r="X25"/>
  <c r="Y24"/>
  <c r="X24"/>
  <c r="Y18"/>
  <c r="X18"/>
  <c r="Y17"/>
  <c r="X17"/>
  <c r="Y12"/>
  <c r="Y11"/>
  <c r="X12"/>
  <c r="X11"/>
  <c r="X10"/>
  <c r="X16"/>
  <c r="X23"/>
  <c r="X31"/>
  <c r="X38"/>
  <c r="X47"/>
  <c r="X54"/>
  <c r="X61"/>
  <c r="B35" l="1"/>
  <c r="B35" i="9"/>
  <c r="AP19" i="11"/>
  <c r="AI18"/>
  <c r="CD20"/>
  <c r="BJ20"/>
  <c r="X41" i="9"/>
  <c r="X65" i="2"/>
  <c r="X19"/>
  <c r="X21"/>
  <c r="X20"/>
  <c r="B34" l="1"/>
  <c r="B34" i="9"/>
  <c r="AI16" i="11"/>
  <c r="AP18"/>
  <c r="CD19"/>
  <c r="BJ19"/>
  <c r="E8" i="9"/>
  <c r="L64"/>
  <c r="M64"/>
  <c r="U64" s="1"/>
  <c r="Z64" s="1"/>
  <c r="X36"/>
  <c r="E8" i="2"/>
  <c r="CD18" i="11" l="1"/>
  <c r="BJ18"/>
  <c r="B29" i="9"/>
  <c r="B29" i="2"/>
  <c r="AP16" i="11"/>
  <c r="AI15"/>
  <c r="BQ37"/>
  <c r="CQ36"/>
  <c r="BQ36"/>
  <c r="X35" i="9"/>
  <c r="T64"/>
  <c r="AB8"/>
  <c r="AC8" s="1"/>
  <c r="Z8"/>
  <c r="K8"/>
  <c r="G64"/>
  <c r="Y64" i="2"/>
  <c r="B28" i="9" l="1"/>
  <c r="B28" i="2"/>
  <c r="AP15" i="11"/>
  <c r="AI14"/>
  <c r="BJ16"/>
  <c r="CD16"/>
  <c r="AB64" i="9"/>
  <c r="J64"/>
  <c r="I64"/>
  <c r="H64"/>
  <c r="X34"/>
  <c r="K64"/>
  <c r="B27" l="1"/>
  <c r="B27" i="2"/>
  <c r="AP14" i="11"/>
  <c r="AI13"/>
  <c r="CD15"/>
  <c r="BJ15"/>
  <c r="BO37"/>
  <c r="BO36"/>
  <c r="BP37"/>
  <c r="BP36"/>
  <c r="AF64" i="9"/>
  <c r="AC64"/>
  <c r="AA64"/>
  <c r="O64" s="1"/>
  <c r="AD64" s="1"/>
  <c r="AE64" s="1"/>
  <c r="N64" s="1"/>
  <c r="Y65"/>
  <c r="AH65"/>
  <c r="F8"/>
  <c r="G8" s="1"/>
  <c r="H8" s="1"/>
  <c r="J8" s="1"/>
  <c r="G65"/>
  <c r="X29"/>
  <c r="X64" i="2"/>
  <c r="AR50"/>
  <c r="AR26"/>
  <c r="AR19"/>
  <c r="AR57"/>
  <c r="X59"/>
  <c r="F8"/>
  <c r="G8" s="1"/>
  <c r="H8" s="1"/>
  <c r="J8" s="1"/>
  <c r="I8" s="1"/>
  <c r="Y65"/>
  <c r="AP13" i="11" l="1"/>
  <c r="B26" i="2"/>
  <c r="B26" i="9"/>
  <c r="CD14" i="11"/>
  <c r="BJ14"/>
  <c r="CO9"/>
  <c r="CO13"/>
  <c r="CO32"/>
  <c r="CO28"/>
  <c r="Y51" i="9"/>
  <c r="AH51"/>
  <c r="L34"/>
  <c r="M34"/>
  <c r="U34" s="1"/>
  <c r="Z34" s="1"/>
  <c r="K34"/>
  <c r="M41"/>
  <c r="U41" s="1"/>
  <c r="Z41" s="1"/>
  <c r="L41"/>
  <c r="K41"/>
  <c r="Y27"/>
  <c r="AH27"/>
  <c r="L35"/>
  <c r="M35"/>
  <c r="U35" s="1"/>
  <c r="Z35" s="1"/>
  <c r="K35"/>
  <c r="S64"/>
  <c r="Q64"/>
  <c r="M58"/>
  <c r="U58" s="1"/>
  <c r="Z58" s="1"/>
  <c r="L58"/>
  <c r="K58"/>
  <c r="AH59"/>
  <c r="Y59"/>
  <c r="Y42"/>
  <c r="AH42"/>
  <c r="L14"/>
  <c r="M14"/>
  <c r="U14" s="1"/>
  <c r="Z14" s="1"/>
  <c r="K14"/>
  <c r="Y44"/>
  <c r="AH44"/>
  <c r="L36"/>
  <c r="CQ20" i="11" s="1"/>
  <c r="M36" i="9"/>
  <c r="U36" s="1"/>
  <c r="Z36" s="1"/>
  <c r="K36"/>
  <c r="AH45"/>
  <c r="Y45"/>
  <c r="X28"/>
  <c r="Y29"/>
  <c r="AH29"/>
  <c r="L21"/>
  <c r="CQ11" i="11" s="1"/>
  <c r="M21" i="9"/>
  <c r="U21" s="1"/>
  <c r="Z21" s="1"/>
  <c r="K21"/>
  <c r="J65"/>
  <c r="I65"/>
  <c r="H65"/>
  <c r="M43"/>
  <c r="U43" s="1"/>
  <c r="Z43" s="1"/>
  <c r="L43"/>
  <c r="K43"/>
  <c r="Y20"/>
  <c r="AH20"/>
  <c r="L13"/>
  <c r="M13"/>
  <c r="U13" s="1"/>
  <c r="Z13" s="1"/>
  <c r="K13"/>
  <c r="L28"/>
  <c r="M28"/>
  <c r="U28" s="1"/>
  <c r="Z28" s="1"/>
  <c r="K28"/>
  <c r="Y52"/>
  <c r="AH52"/>
  <c r="L51"/>
  <c r="M51"/>
  <c r="U51" s="1"/>
  <c r="Z51" s="1"/>
  <c r="K51"/>
  <c r="Y34"/>
  <c r="AH34"/>
  <c r="Y41"/>
  <c r="AH41"/>
  <c r="L27"/>
  <c r="M27"/>
  <c r="U27" s="1"/>
  <c r="Z27" s="1"/>
  <c r="K27"/>
  <c r="AH35"/>
  <c r="Y35"/>
  <c r="I8"/>
  <c r="AA8"/>
  <c r="AF8"/>
  <c r="Y58"/>
  <c r="AH58"/>
  <c r="M59"/>
  <c r="U59" s="1"/>
  <c r="Z59" s="1"/>
  <c r="L59"/>
  <c r="CQ34" i="11" s="1"/>
  <c r="K59" i="9"/>
  <c r="L42"/>
  <c r="M42"/>
  <c r="U42" s="1"/>
  <c r="Z42" s="1"/>
  <c r="K42"/>
  <c r="Y14"/>
  <c r="AH14"/>
  <c r="M44"/>
  <c r="U44" s="1"/>
  <c r="Z44" s="1"/>
  <c r="L44"/>
  <c r="K44"/>
  <c r="AH36"/>
  <c r="Y36"/>
  <c r="L45"/>
  <c r="CQ26" i="11" s="1"/>
  <c r="M45" i="9"/>
  <c r="U45" s="1"/>
  <c r="Z45" s="1"/>
  <c r="K45"/>
  <c r="L29"/>
  <c r="CQ16" i="11" s="1"/>
  <c r="M29" i="9"/>
  <c r="U29" s="1"/>
  <c r="Z29" s="1"/>
  <c r="K29"/>
  <c r="AH21"/>
  <c r="Y21"/>
  <c r="Y43"/>
  <c r="AH43"/>
  <c r="L20"/>
  <c r="M20"/>
  <c r="U20" s="1"/>
  <c r="Z20" s="1"/>
  <c r="K20"/>
  <c r="Y13"/>
  <c r="AH13"/>
  <c r="P64"/>
  <c r="Y28"/>
  <c r="AH28"/>
  <c r="M52"/>
  <c r="U52" s="1"/>
  <c r="Z52" s="1"/>
  <c r="L52"/>
  <c r="K52"/>
  <c r="AH50" i="2"/>
  <c r="AR28" i="11" s="1"/>
  <c r="AQ50" i="2"/>
  <c r="AH57"/>
  <c r="AR32" i="11" s="1"/>
  <c r="AQ57" i="2"/>
  <c r="AH19"/>
  <c r="AR9" i="11" s="1"/>
  <c r="AQ19" i="2"/>
  <c r="AH26"/>
  <c r="AR13" i="11" s="1"/>
  <c r="AQ26" i="2"/>
  <c r="Y51"/>
  <c r="Y36"/>
  <c r="Y21"/>
  <c r="Y42"/>
  <c r="Y58"/>
  <c r="Y14"/>
  <c r="Y34"/>
  <c r="Y29"/>
  <c r="Y20"/>
  <c r="Y35"/>
  <c r="Y13"/>
  <c r="Y26"/>
  <c r="Y57"/>
  <c r="Y19"/>
  <c r="Y50"/>
  <c r="Y59"/>
  <c r="Y41"/>
  <c r="Y52"/>
  <c r="Y45"/>
  <c r="Y43"/>
  <c r="Y44"/>
  <c r="G51" i="9"/>
  <c r="M51" i="2"/>
  <c r="U51" s="1"/>
  <c r="Z51" s="1"/>
  <c r="G34" i="9"/>
  <c r="M34" i="2"/>
  <c r="G20" i="9"/>
  <c r="M20" i="2"/>
  <c r="U20" s="1"/>
  <c r="Z20" s="1"/>
  <c r="G41" i="9"/>
  <c r="L41" i="2"/>
  <c r="G27" i="9"/>
  <c r="L27" i="2"/>
  <c r="G43" i="9"/>
  <c r="L43" i="2"/>
  <c r="G13" i="9"/>
  <c r="M13" i="2"/>
  <c r="G58" i="9"/>
  <c r="M58" i="2"/>
  <c r="U58" s="1"/>
  <c r="Z58" s="1"/>
  <c r="G21" i="9"/>
  <c r="J21" s="1"/>
  <c r="M21" i="2"/>
  <c r="U21" s="1"/>
  <c r="Z21" s="1"/>
  <c r="G36" i="9"/>
  <c r="M36" i="2"/>
  <c r="G52" i="9"/>
  <c r="M52" i="2"/>
  <c r="U52" s="1"/>
  <c r="Z52" s="1"/>
  <c r="G35" i="9"/>
  <c r="M35" i="2"/>
  <c r="U35" s="1"/>
  <c r="Z35" s="1"/>
  <c r="G59" i="9"/>
  <c r="J59" s="1"/>
  <c r="G14"/>
  <c r="I14" s="1"/>
  <c r="M14" i="2"/>
  <c r="Y27"/>
  <c r="X58"/>
  <c r="Y28"/>
  <c r="G29" i="9"/>
  <c r="M29" i="2"/>
  <c r="U29" s="1"/>
  <c r="Z29" s="1"/>
  <c r="G28" i="9"/>
  <c r="M28" i="2"/>
  <c r="U28" s="1"/>
  <c r="Z28" s="1"/>
  <c r="G45" i="9"/>
  <c r="M45" i="2"/>
  <c r="CJ26" i="11" s="1"/>
  <c r="G42" i="9"/>
  <c r="M42" i="2"/>
  <c r="G44" i="9"/>
  <c r="L44" i="2"/>
  <c r="CD13" i="11" l="1"/>
  <c r="BJ13"/>
  <c r="CQ10"/>
  <c r="BQ24"/>
  <c r="CQ23"/>
  <c r="CQ29"/>
  <c r="BQ29"/>
  <c r="BQ10"/>
  <c r="CQ6"/>
  <c r="BQ6"/>
  <c r="BQ25"/>
  <c r="CQ24"/>
  <c r="BP23"/>
  <c r="BP22"/>
  <c r="CQ30"/>
  <c r="BQ30"/>
  <c r="BP26"/>
  <c r="BQ15"/>
  <c r="CQ14"/>
  <c r="BQ16"/>
  <c r="CQ15"/>
  <c r="BQ11"/>
  <c r="CQ7"/>
  <c r="BQ7"/>
  <c r="CR36"/>
  <c r="BQ20"/>
  <c r="CQ19"/>
  <c r="BQ22"/>
  <c r="BQ23"/>
  <c r="CQ22"/>
  <c r="BQ19"/>
  <c r="BQ18"/>
  <c r="CQ18"/>
  <c r="BP30"/>
  <c r="BP11"/>
  <c r="BQ26"/>
  <c r="CQ25"/>
  <c r="BP24"/>
  <c r="BP29"/>
  <c r="BP6"/>
  <c r="BP34"/>
  <c r="CS36"/>
  <c r="BP15"/>
  <c r="BP16"/>
  <c r="BP25"/>
  <c r="BP7"/>
  <c r="BQ34"/>
  <c r="CQ33"/>
  <c r="BP20"/>
  <c r="BP19"/>
  <c r="BP18"/>
  <c r="CJ23"/>
  <c r="AW14"/>
  <c r="CI14"/>
  <c r="CU13"/>
  <c r="BL13"/>
  <c r="CT13"/>
  <c r="CF13"/>
  <c r="CN9"/>
  <c r="CN28"/>
  <c r="CI24"/>
  <c r="AW24"/>
  <c r="CT9"/>
  <c r="BL9"/>
  <c r="CF9"/>
  <c r="CU9"/>
  <c r="CU28"/>
  <c r="CF28"/>
  <c r="CT28"/>
  <c r="BL28"/>
  <c r="CI22"/>
  <c r="AW22"/>
  <c r="CN13"/>
  <c r="CN32"/>
  <c r="AW25"/>
  <c r="CI25"/>
  <c r="CU32"/>
  <c r="BL32"/>
  <c r="CT32"/>
  <c r="CF32"/>
  <c r="T43" i="9"/>
  <c r="AB43" s="1"/>
  <c r="AC43" s="1"/>
  <c r="T58"/>
  <c r="AB58" s="1"/>
  <c r="T45"/>
  <c r="AB45" s="1"/>
  <c r="AC45" s="1"/>
  <c r="T44"/>
  <c r="AB44" s="1"/>
  <c r="T59"/>
  <c r="AB59" s="1"/>
  <c r="T14"/>
  <c r="AB14" s="1"/>
  <c r="AC14" s="1"/>
  <c r="T29"/>
  <c r="AB29" s="1"/>
  <c r="AC29" s="1"/>
  <c r="T42"/>
  <c r="AB42" s="1"/>
  <c r="T51"/>
  <c r="AB51" s="1"/>
  <c r="AC51" s="1"/>
  <c r="T13"/>
  <c r="AB13" s="1"/>
  <c r="AC13" s="1"/>
  <c r="T21"/>
  <c r="AB21" s="1"/>
  <c r="AC21" s="1"/>
  <c r="T36"/>
  <c r="AB36" s="1"/>
  <c r="AC36" s="1"/>
  <c r="I45"/>
  <c r="H45"/>
  <c r="J29"/>
  <c r="AA29" s="1"/>
  <c r="O29" s="1"/>
  <c r="I29"/>
  <c r="J52"/>
  <c r="I52"/>
  <c r="H28"/>
  <c r="J28"/>
  <c r="BO16" i="11" s="1"/>
  <c r="I28" i="9"/>
  <c r="J13"/>
  <c r="AA13" s="1"/>
  <c r="O13" s="1"/>
  <c r="H13"/>
  <c r="I13"/>
  <c r="H20"/>
  <c r="J20"/>
  <c r="I20"/>
  <c r="I44"/>
  <c r="J44"/>
  <c r="H44"/>
  <c r="H35"/>
  <c r="I35"/>
  <c r="J35"/>
  <c r="H36"/>
  <c r="I36"/>
  <c r="J36"/>
  <c r="AA36" s="1"/>
  <c r="O36" s="1"/>
  <c r="S36" s="1"/>
  <c r="J58"/>
  <c r="I58"/>
  <c r="H58"/>
  <c r="I43"/>
  <c r="J43"/>
  <c r="BO25" i="11" s="1"/>
  <c r="H43" i="9"/>
  <c r="I41"/>
  <c r="H41"/>
  <c r="J41"/>
  <c r="H34"/>
  <c r="J34"/>
  <c r="I34"/>
  <c r="AA44"/>
  <c r="O44" s="1"/>
  <c r="H27"/>
  <c r="J27"/>
  <c r="BO15" i="11" s="1"/>
  <c r="I27" i="9"/>
  <c r="J42"/>
  <c r="H42"/>
  <c r="I42"/>
  <c r="J51"/>
  <c r="I51"/>
  <c r="H51"/>
  <c r="T20"/>
  <c r="T52"/>
  <c r="J45"/>
  <c r="H29"/>
  <c r="I59"/>
  <c r="H21"/>
  <c r="J14"/>
  <c r="R64"/>
  <c r="T41"/>
  <c r="AA59"/>
  <c r="O59" s="1"/>
  <c r="H59"/>
  <c r="T28"/>
  <c r="AA65"/>
  <c r="O65" s="1"/>
  <c r="AD65" s="1"/>
  <c r="AE65" s="1"/>
  <c r="N65" s="1"/>
  <c r="N8" s="1"/>
  <c r="AF65"/>
  <c r="I21"/>
  <c r="X26"/>
  <c r="X27"/>
  <c r="H14"/>
  <c r="T35"/>
  <c r="AB35" s="1"/>
  <c r="T34"/>
  <c r="H52"/>
  <c r="T27"/>
  <c r="AA21"/>
  <c r="O21" s="1"/>
  <c r="AH20" i="2"/>
  <c r="AR10" i="11" s="1"/>
  <c r="AH59" i="2"/>
  <c r="AR34" i="11" s="1"/>
  <c r="AH44" i="2"/>
  <c r="AR25" i="11" s="1"/>
  <c r="AH34" i="2"/>
  <c r="AR18" i="11" s="1"/>
  <c r="AH27" i="2"/>
  <c r="AR14" i="11" s="1"/>
  <c r="AH35" i="2"/>
  <c r="AR19" i="11" s="1"/>
  <c r="AH36" i="2"/>
  <c r="AR20" i="11" s="1"/>
  <c r="AH13" i="2"/>
  <c r="AR6" i="11" s="1"/>
  <c r="AH43" i="2"/>
  <c r="AR24" i="11" s="1"/>
  <c r="AH42" i="2"/>
  <c r="AR23" i="11" s="1"/>
  <c r="AH64" i="2"/>
  <c r="AH65"/>
  <c r="AR37" i="11" s="1"/>
  <c r="AH58" i="2"/>
  <c r="AR33" i="11" s="1"/>
  <c r="AH14" i="2"/>
  <c r="AR7" i="11" s="1"/>
  <c r="AH51" i="2"/>
  <c r="AR29" i="11" s="1"/>
  <c r="AH45" i="2"/>
  <c r="AR26" i="11" s="1"/>
  <c r="AH41" i="2"/>
  <c r="AH21"/>
  <c r="AR11" i="11" s="1"/>
  <c r="AH52" i="2"/>
  <c r="AR30" i="11" s="1"/>
  <c r="AH28" i="2"/>
  <c r="AR15" i="11" s="1"/>
  <c r="AH29" i="2"/>
  <c r="AR16" i="11" s="1"/>
  <c r="M50" i="2"/>
  <c r="U50" s="1"/>
  <c r="Z50" s="1"/>
  <c r="L50"/>
  <c r="G26"/>
  <c r="J26" s="1"/>
  <c r="L26"/>
  <c r="I26"/>
  <c r="M26"/>
  <c r="U26" s="1"/>
  <c r="Z26" s="1"/>
  <c r="AA26" s="1"/>
  <c r="H26"/>
  <c r="G50"/>
  <c r="M19"/>
  <c r="L19"/>
  <c r="U19"/>
  <c r="Z19" s="1"/>
  <c r="G19"/>
  <c r="L57"/>
  <c r="M57"/>
  <c r="U57" s="1"/>
  <c r="Z57" s="1"/>
  <c r="T57"/>
  <c r="G57"/>
  <c r="H57" s="1"/>
  <c r="U45"/>
  <c r="Z45" s="1"/>
  <c r="U14"/>
  <c r="Z14" s="1"/>
  <c r="U13"/>
  <c r="Z13" s="1"/>
  <c r="X57"/>
  <c r="L34"/>
  <c r="G29"/>
  <c r="I29" s="1"/>
  <c r="G14"/>
  <c r="H14" s="1"/>
  <c r="G35"/>
  <c r="I35" s="1"/>
  <c r="G36"/>
  <c r="I36" s="1"/>
  <c r="G58"/>
  <c r="I58" s="1"/>
  <c r="G43"/>
  <c r="J43" s="1"/>
  <c r="G27"/>
  <c r="J27" s="1"/>
  <c r="G20"/>
  <c r="I20" s="1"/>
  <c r="G51"/>
  <c r="I51" s="1"/>
  <c r="G42"/>
  <c r="J42" s="1"/>
  <c r="G28"/>
  <c r="J28" s="1"/>
  <c r="G44"/>
  <c r="J44" s="1"/>
  <c r="G45"/>
  <c r="I45" s="1"/>
  <c r="G52"/>
  <c r="I52" s="1"/>
  <c r="G21"/>
  <c r="H21" s="1"/>
  <c r="G13"/>
  <c r="I13" s="1"/>
  <c r="G41"/>
  <c r="H41" s="1"/>
  <c r="G34"/>
  <c r="J34" s="1"/>
  <c r="M41"/>
  <c r="U41" s="1"/>
  <c r="Z41" s="1"/>
  <c r="L21"/>
  <c r="M44"/>
  <c r="CJ25" i="11" s="1"/>
  <c r="L45" i="2"/>
  <c r="L13"/>
  <c r="L52"/>
  <c r="L51"/>
  <c r="L20"/>
  <c r="L58"/>
  <c r="M27"/>
  <c r="U27" s="1"/>
  <c r="Z27" s="1"/>
  <c r="M43"/>
  <c r="CJ24" i="11" s="1"/>
  <c r="L36" i="2"/>
  <c r="L28"/>
  <c r="L35"/>
  <c r="L42"/>
  <c r="L14"/>
  <c r="L29"/>
  <c r="U36"/>
  <c r="Z36" s="1"/>
  <c r="U42"/>
  <c r="Z42" s="1"/>
  <c r="T27"/>
  <c r="T44"/>
  <c r="U34"/>
  <c r="Z34" s="1"/>
  <c r="T43"/>
  <c r="T41"/>
  <c r="AA34" i="9" l="1"/>
  <c r="O34" s="1"/>
  <c r="AD34" s="1"/>
  <c r="AE34" s="1"/>
  <c r="N34" s="1"/>
  <c r="BO18" i="11"/>
  <c r="BO19"/>
  <c r="BO23"/>
  <c r="BO22"/>
  <c r="BO20"/>
  <c r="BO26"/>
  <c r="BO30"/>
  <c r="BO29"/>
  <c r="CS20"/>
  <c r="BR36"/>
  <c r="BR37"/>
  <c r="AA14" i="9"/>
  <c r="O14" s="1"/>
  <c r="AD14" s="1"/>
  <c r="AE14" s="1"/>
  <c r="N14" s="1"/>
  <c r="BO7" i="11"/>
  <c r="AA20" i="9"/>
  <c r="O20" s="1"/>
  <c r="Q20" s="1"/>
  <c r="R20" s="1"/>
  <c r="BR11" i="11" s="1"/>
  <c r="BO11"/>
  <c r="BO6"/>
  <c r="BO24"/>
  <c r="BO34"/>
  <c r="CI20"/>
  <c r="AW20"/>
  <c r="AW26"/>
  <c r="CI26"/>
  <c r="CI29"/>
  <c r="AW29"/>
  <c r="CI30"/>
  <c r="AW30"/>
  <c r="AU25"/>
  <c r="CI16"/>
  <c r="AW16"/>
  <c r="CI15"/>
  <c r="AW15"/>
  <c r="AW33"/>
  <c r="CI33"/>
  <c r="CI6"/>
  <c r="AW6"/>
  <c r="AW32"/>
  <c r="CI32"/>
  <c r="BL11"/>
  <c r="CF11"/>
  <c r="CF7"/>
  <c r="BL7"/>
  <c r="BL23"/>
  <c r="CF23"/>
  <c r="BL19"/>
  <c r="CF19"/>
  <c r="BL34"/>
  <c r="CF34"/>
  <c r="AW7"/>
  <c r="CI7"/>
  <c r="AU15"/>
  <c r="AU14"/>
  <c r="T34" i="2"/>
  <c r="CI18" i="11"/>
  <c r="AW18"/>
  <c r="T26" i="2"/>
  <c r="AW13" i="11"/>
  <c r="CI13"/>
  <c r="CF16"/>
  <c r="BL16"/>
  <c r="AR22"/>
  <c r="BL33"/>
  <c r="CF33"/>
  <c r="BL24"/>
  <c r="CF24"/>
  <c r="BL14"/>
  <c r="CF14"/>
  <c r="BL10"/>
  <c r="CF10"/>
  <c r="CI10"/>
  <c r="AW10"/>
  <c r="CI23"/>
  <c r="AW23"/>
  <c r="AU23"/>
  <c r="AU24"/>
  <c r="CI9"/>
  <c r="AW9"/>
  <c r="AU13"/>
  <c r="CF15"/>
  <c r="BL15"/>
  <c r="BL26"/>
  <c r="CF26"/>
  <c r="BL37"/>
  <c r="CF37"/>
  <c r="BL6"/>
  <c r="CF6"/>
  <c r="BL18"/>
  <c r="CF18"/>
  <c r="AU18"/>
  <c r="CI19"/>
  <c r="AW19"/>
  <c r="CI11"/>
  <c r="AW11"/>
  <c r="T50" i="2"/>
  <c r="AB50" s="1"/>
  <c r="CI28" i="11"/>
  <c r="AW28"/>
  <c r="BL30"/>
  <c r="CF30"/>
  <c r="CF29"/>
  <c r="BL29"/>
  <c r="AR36"/>
  <c r="CF20"/>
  <c r="BL20"/>
  <c r="CF25"/>
  <c r="BL25"/>
  <c r="AF13" i="9"/>
  <c r="P13" s="1"/>
  <c r="Q44"/>
  <c r="AF29"/>
  <c r="P29" s="1"/>
  <c r="S44"/>
  <c r="AA58"/>
  <c r="O58" s="1"/>
  <c r="S58" s="1"/>
  <c r="AA52"/>
  <c r="O52" s="1"/>
  <c r="AD52" s="1"/>
  <c r="AE52" s="1"/>
  <c r="N52" s="1"/>
  <c r="AF36"/>
  <c r="P36" s="1"/>
  <c r="AF21"/>
  <c r="P21" s="1"/>
  <c r="Q13"/>
  <c r="AA42"/>
  <c r="O42" s="1"/>
  <c r="Q42" s="1"/>
  <c r="AA35"/>
  <c r="O35" s="1"/>
  <c r="S35" s="1"/>
  <c r="Q36"/>
  <c r="CR20" i="11" s="1"/>
  <c r="P65" i="9"/>
  <c r="P8" s="1"/>
  <c r="S14"/>
  <c r="AD21"/>
  <c r="AE21" s="1"/>
  <c r="N21" s="1"/>
  <c r="Q21"/>
  <c r="R21" s="1"/>
  <c r="AB34"/>
  <c r="Q34"/>
  <c r="AF42"/>
  <c r="AC42"/>
  <c r="S21"/>
  <c r="AC44"/>
  <c r="AF44"/>
  <c r="P44" s="1"/>
  <c r="AB20"/>
  <c r="AC20" s="1"/>
  <c r="AF51"/>
  <c r="AA51"/>
  <c r="O51" s="1"/>
  <c r="AD36"/>
  <c r="AE36" s="1"/>
  <c r="N36" s="1"/>
  <c r="AD44"/>
  <c r="AE44" s="1"/>
  <c r="N44" s="1"/>
  <c r="AD13"/>
  <c r="AE13" s="1"/>
  <c r="N13" s="1"/>
  <c r="S13"/>
  <c r="AB27"/>
  <c r="AC35"/>
  <c r="AF35"/>
  <c r="AB41"/>
  <c r="AF14"/>
  <c r="P14" s="1"/>
  <c r="AF59"/>
  <c r="P59" s="1"/>
  <c r="AC59"/>
  <c r="AF45"/>
  <c r="AA45"/>
  <c r="O45" s="1"/>
  <c r="AA27"/>
  <c r="O27" s="1"/>
  <c r="S27" s="1"/>
  <c r="AA43"/>
  <c r="O43" s="1"/>
  <c r="AD43" s="1"/>
  <c r="AE43" s="1"/>
  <c r="N43" s="1"/>
  <c r="AF43"/>
  <c r="AB28"/>
  <c r="AF58"/>
  <c r="P58" s="1"/>
  <c r="AC58"/>
  <c r="AB52"/>
  <c r="AD59"/>
  <c r="AE59" s="1"/>
  <c r="N59" s="1"/>
  <c r="S59"/>
  <c r="Q59"/>
  <c r="CR34" i="11" s="1"/>
  <c r="AA28" i="9"/>
  <c r="O28" s="1"/>
  <c r="S28" s="1"/>
  <c r="Q29"/>
  <c r="CR16" i="11" s="1"/>
  <c r="S29" i="9"/>
  <c r="O8"/>
  <c r="AD8" s="1"/>
  <c r="AE8" s="1"/>
  <c r="Q65"/>
  <c r="S65"/>
  <c r="CS37" i="11" s="1"/>
  <c r="AJ64" i="9"/>
  <c r="AD29"/>
  <c r="AE29" s="1"/>
  <c r="N29" s="1"/>
  <c r="AA41"/>
  <c r="O41" s="1"/>
  <c r="Q41" s="1"/>
  <c r="Q58"/>
  <c r="AD58"/>
  <c r="AE58" s="1"/>
  <c r="N58" s="1"/>
  <c r="O26" i="2"/>
  <c r="J19"/>
  <c r="I19"/>
  <c r="H19"/>
  <c r="AC50"/>
  <c r="H50"/>
  <c r="I50"/>
  <c r="J50"/>
  <c r="AB57"/>
  <c r="I57"/>
  <c r="AD26"/>
  <c r="AE26" s="1"/>
  <c r="N26" s="1"/>
  <c r="J57"/>
  <c r="T19"/>
  <c r="AB26"/>
  <c r="Q26"/>
  <c r="CJ13" i="11" s="1"/>
  <c r="S26" i="2"/>
  <c r="AA19"/>
  <c r="O19" s="1"/>
  <c r="S19" s="1"/>
  <c r="X52"/>
  <c r="U43"/>
  <c r="Z43" s="1"/>
  <c r="AA43" s="1"/>
  <c r="O43" s="1"/>
  <c r="S43" s="1"/>
  <c r="U44"/>
  <c r="Z44" s="1"/>
  <c r="AA44" s="1"/>
  <c r="O44" s="1"/>
  <c r="S44" s="1"/>
  <c r="T21"/>
  <c r="AB21" s="1"/>
  <c r="T52"/>
  <c r="AB52" s="1"/>
  <c r="T20"/>
  <c r="AB20" s="1"/>
  <c r="T42"/>
  <c r="AB42" s="1"/>
  <c r="AC42" s="1"/>
  <c r="T51"/>
  <c r="AB51" s="1"/>
  <c r="T45"/>
  <c r="AB45" s="1"/>
  <c r="T35"/>
  <c r="AB35" s="1"/>
  <c r="T29"/>
  <c r="AB29" s="1"/>
  <c r="T28"/>
  <c r="AB28" s="1"/>
  <c r="T58"/>
  <c r="AB58" s="1"/>
  <c r="T36"/>
  <c r="AB36" s="1"/>
  <c r="AA42"/>
  <c r="O42" s="1"/>
  <c r="S42" s="1"/>
  <c r="T13"/>
  <c r="AB13" s="1"/>
  <c r="AA28"/>
  <c r="O28" s="1"/>
  <c r="S28" s="1"/>
  <c r="AA34"/>
  <c r="O34" s="1"/>
  <c r="S34" s="1"/>
  <c r="T14"/>
  <c r="AB14" s="1"/>
  <c r="AA27"/>
  <c r="O27" s="1"/>
  <c r="J14"/>
  <c r="I27"/>
  <c r="J13"/>
  <c r="J35"/>
  <c r="J21"/>
  <c r="I44"/>
  <c r="H13"/>
  <c r="J51"/>
  <c r="H27"/>
  <c r="H58"/>
  <c r="H35"/>
  <c r="I14"/>
  <c r="H28"/>
  <c r="J41"/>
  <c r="I21"/>
  <c r="H34"/>
  <c r="I43"/>
  <c r="H29"/>
  <c r="I34"/>
  <c r="H52"/>
  <c r="H44"/>
  <c r="H51"/>
  <c r="J20"/>
  <c r="J58"/>
  <c r="H36"/>
  <c r="I28"/>
  <c r="I42"/>
  <c r="J52"/>
  <c r="H45"/>
  <c r="H43"/>
  <c r="J29"/>
  <c r="X51"/>
  <c r="I41"/>
  <c r="H20"/>
  <c r="J36"/>
  <c r="H42"/>
  <c r="J45"/>
  <c r="AB43"/>
  <c r="AB44"/>
  <c r="AB34"/>
  <c r="AB41"/>
  <c r="AB27"/>
  <c r="U65"/>
  <c r="T65"/>
  <c r="Q14" i="9" l="1"/>
  <c r="CR7" i="11" s="1"/>
  <c r="S34" i="9"/>
  <c r="Q35"/>
  <c r="R35" s="1"/>
  <c r="BR20" i="11" s="1"/>
  <c r="P35" i="9"/>
  <c r="S20"/>
  <c r="CS10" i="11" s="1"/>
  <c r="AD20" i="9"/>
  <c r="AE20" s="1"/>
  <c r="N20" s="1"/>
  <c r="AD35"/>
  <c r="AE35" s="1"/>
  <c r="N35" s="1"/>
  <c r="CR22" i="11"/>
  <c r="CS14"/>
  <c r="CR23"/>
  <c r="CR25"/>
  <c r="CS16"/>
  <c r="CS15"/>
  <c r="CS18"/>
  <c r="CS6"/>
  <c r="CR18"/>
  <c r="CS7"/>
  <c r="CR6"/>
  <c r="CS33"/>
  <c r="CS11"/>
  <c r="CS25"/>
  <c r="CR33"/>
  <c r="CR37"/>
  <c r="CS34"/>
  <c r="CS19"/>
  <c r="AU30"/>
  <c r="AU33"/>
  <c r="AU29"/>
  <c r="AU10"/>
  <c r="AU6"/>
  <c r="AU22"/>
  <c r="CK23"/>
  <c r="AU26"/>
  <c r="AU11"/>
  <c r="AU7"/>
  <c r="CK18"/>
  <c r="CK24"/>
  <c r="AU19"/>
  <c r="AU32"/>
  <c r="AU28"/>
  <c r="AU20"/>
  <c r="CK9"/>
  <c r="CF36"/>
  <c r="BL36"/>
  <c r="BL22"/>
  <c r="CF22"/>
  <c r="CK15"/>
  <c r="AU16"/>
  <c r="CK25"/>
  <c r="CK13"/>
  <c r="AU9"/>
  <c r="AD42" i="9"/>
  <c r="AE42" s="1"/>
  <c r="N42" s="1"/>
  <c r="R44"/>
  <c r="BR26" i="11" s="1"/>
  <c r="Q52" i="9"/>
  <c r="CR30" i="11" s="1"/>
  <c r="S52" i="9"/>
  <c r="P42"/>
  <c r="R13"/>
  <c r="AD28"/>
  <c r="AE28" s="1"/>
  <c r="N28" s="1"/>
  <c r="S8"/>
  <c r="R29"/>
  <c r="AJ29" s="1"/>
  <c r="R36"/>
  <c r="AJ36" s="1"/>
  <c r="R59"/>
  <c r="AJ59" s="1"/>
  <c r="S42"/>
  <c r="AF20"/>
  <c r="P20" s="1"/>
  <c r="AD27"/>
  <c r="AE27" s="1"/>
  <c r="N27" s="1"/>
  <c r="Q28"/>
  <c r="AD41"/>
  <c r="AE41" s="1"/>
  <c r="N41" s="1"/>
  <c r="P43"/>
  <c r="AC27"/>
  <c r="AF27"/>
  <c r="P27" s="1"/>
  <c r="AJ20"/>
  <c r="AJ21"/>
  <c r="R41"/>
  <c r="R34"/>
  <c r="R58"/>
  <c r="BR34" i="11" s="1"/>
  <c r="AC52" i="9"/>
  <c r="AF52"/>
  <c r="P52" s="1"/>
  <c r="AC41"/>
  <c r="AF41"/>
  <c r="AD51"/>
  <c r="AE51" s="1"/>
  <c r="N51" s="1"/>
  <c r="S51"/>
  <c r="P51"/>
  <c r="Q51"/>
  <c r="AC34"/>
  <c r="AF34"/>
  <c r="P34" s="1"/>
  <c r="R42"/>
  <c r="BR24" i="11" s="1"/>
  <c r="P41" i="9"/>
  <c r="S41"/>
  <c r="R65"/>
  <c r="Q8"/>
  <c r="AF28"/>
  <c r="P28" s="1"/>
  <c r="AC28"/>
  <c r="Q43"/>
  <c r="S43"/>
  <c r="AD45"/>
  <c r="AE45" s="1"/>
  <c r="N45" s="1"/>
  <c r="P45"/>
  <c r="Q45"/>
  <c r="CR26" i="11" s="1"/>
  <c r="S45" i="9"/>
  <c r="Q27"/>
  <c r="AA50" i="2"/>
  <c r="O50" s="1"/>
  <c r="Q50" s="1"/>
  <c r="CJ28" i="11" s="1"/>
  <c r="AF50" i="2"/>
  <c r="AA57"/>
  <c r="O57" s="1"/>
  <c r="AD57" s="1"/>
  <c r="AE57" s="1"/>
  <c r="N57" s="1"/>
  <c r="R26"/>
  <c r="AX13" i="11" s="1"/>
  <c r="P50" i="2"/>
  <c r="S50"/>
  <c r="AD50"/>
  <c r="AE50" s="1"/>
  <c r="N50" s="1"/>
  <c r="AC26"/>
  <c r="AF26"/>
  <c r="P26" s="1"/>
  <c r="Q19"/>
  <c r="AB19"/>
  <c r="AF57"/>
  <c r="P57" s="1"/>
  <c r="AC57"/>
  <c r="Q57"/>
  <c r="CJ32" i="11" s="1"/>
  <c r="AD19" i="2"/>
  <c r="AE19" s="1"/>
  <c r="N19" s="1"/>
  <c r="AD44"/>
  <c r="AE44" s="1"/>
  <c r="N44" s="1"/>
  <c r="AF42"/>
  <c r="P42" s="1"/>
  <c r="AD34"/>
  <c r="AE34" s="1"/>
  <c r="N34" s="1"/>
  <c r="Q42"/>
  <c r="R42" s="1"/>
  <c r="AA41"/>
  <c r="O41" s="1"/>
  <c r="S41" s="1"/>
  <c r="AA45"/>
  <c r="O45" s="1"/>
  <c r="AD45" s="1"/>
  <c r="AE45" s="1"/>
  <c r="N45" s="1"/>
  <c r="AA36"/>
  <c r="O36" s="1"/>
  <c r="S36" s="1"/>
  <c r="AA52"/>
  <c r="O52" s="1"/>
  <c r="AD52" s="1"/>
  <c r="AE52" s="1"/>
  <c r="N52" s="1"/>
  <c r="AA58"/>
  <c r="O58" s="1"/>
  <c r="S58" s="1"/>
  <c r="AA51"/>
  <c r="O51" s="1"/>
  <c r="S51" s="1"/>
  <c r="AA35"/>
  <c r="O35" s="1"/>
  <c r="S35" s="1"/>
  <c r="AD27"/>
  <c r="AE27" s="1"/>
  <c r="N27" s="1"/>
  <c r="S27"/>
  <c r="AA29"/>
  <c r="O29" s="1"/>
  <c r="S29" s="1"/>
  <c r="AA20"/>
  <c r="O20" s="1"/>
  <c r="S20" s="1"/>
  <c r="Q44"/>
  <c r="R44" s="1"/>
  <c r="AD28"/>
  <c r="AE28" s="1"/>
  <c r="N28" s="1"/>
  <c r="Q27"/>
  <c r="CJ14" i="11" s="1"/>
  <c r="AA21" i="2"/>
  <c r="O21" s="1"/>
  <c r="AD21" s="1"/>
  <c r="AE21" s="1"/>
  <c r="N21" s="1"/>
  <c r="AA13"/>
  <c r="O13" s="1"/>
  <c r="AA14"/>
  <c r="O14" s="1"/>
  <c r="AD43"/>
  <c r="AE43" s="1"/>
  <c r="N43" s="1"/>
  <c r="Q28"/>
  <c r="CJ15" i="11" s="1"/>
  <c r="Q34" i="2"/>
  <c r="CJ18" i="11" s="1"/>
  <c r="Q43" i="2"/>
  <c r="R43" s="1"/>
  <c r="AD42"/>
  <c r="AE42" s="1"/>
  <c r="N42" s="1"/>
  <c r="X50"/>
  <c r="Z65"/>
  <c r="U8"/>
  <c r="Z8" s="1"/>
  <c r="AA8" s="1"/>
  <c r="AB65"/>
  <c r="AC65" s="1"/>
  <c r="T8"/>
  <c r="AC35"/>
  <c r="AF35"/>
  <c r="AC27"/>
  <c r="AF27"/>
  <c r="P27" s="1"/>
  <c r="AC52"/>
  <c r="AF52"/>
  <c r="AC58"/>
  <c r="AF58"/>
  <c r="AF45"/>
  <c r="AC45"/>
  <c r="AF29"/>
  <c r="AC29"/>
  <c r="AF41"/>
  <c r="AC41"/>
  <c r="AF34"/>
  <c r="P34" s="1"/>
  <c r="AC34"/>
  <c r="AC51"/>
  <c r="AF51"/>
  <c r="AC14"/>
  <c r="AF14"/>
  <c r="AC13"/>
  <c r="AF13"/>
  <c r="AF44"/>
  <c r="P44" s="1"/>
  <c r="AC44"/>
  <c r="AC43"/>
  <c r="AF43"/>
  <c r="P43" s="1"/>
  <c r="AF28"/>
  <c r="P28" s="1"/>
  <c r="AC28"/>
  <c r="AC21"/>
  <c r="AF21"/>
  <c r="AC36"/>
  <c r="AF36"/>
  <c r="AC20"/>
  <c r="AF20"/>
  <c r="R14" i="9" l="1"/>
  <c r="AJ14" s="1"/>
  <c r="CR19" i="11"/>
  <c r="AJ44" i="9"/>
  <c r="R52"/>
  <c r="AJ52" s="1"/>
  <c r="CS26" i="11"/>
  <c r="CS22"/>
  <c r="CR14"/>
  <c r="CR29"/>
  <c r="BR18"/>
  <c r="BR19"/>
  <c r="CS23"/>
  <c r="BR6"/>
  <c r="CS24"/>
  <c r="BR23"/>
  <c r="BR22"/>
  <c r="CR15"/>
  <c r="CR24"/>
  <c r="CS29"/>
  <c r="CS30"/>
  <c r="CK16"/>
  <c r="AX25"/>
  <c r="CK10"/>
  <c r="CK19"/>
  <c r="CK20"/>
  <c r="CK29"/>
  <c r="CK14"/>
  <c r="CK33"/>
  <c r="CK22"/>
  <c r="AX24"/>
  <c r="AX23"/>
  <c r="CR9"/>
  <c r="CJ9"/>
  <c r="CK28"/>
  <c r="AJ13" i="9"/>
  <c r="R28"/>
  <c r="AJ28" s="1"/>
  <c r="R45"/>
  <c r="AJ45" s="1"/>
  <c r="R27"/>
  <c r="BR15" i="11" s="1"/>
  <c r="AJ35" i="9"/>
  <c r="R51"/>
  <c r="BR29" i="11" s="1"/>
  <c r="AJ41" i="9"/>
  <c r="R43"/>
  <c r="BR25" i="11" s="1"/>
  <c r="R8" i="9"/>
  <c r="AJ65"/>
  <c r="AJ42"/>
  <c r="AJ58"/>
  <c r="AJ34"/>
  <c r="S57" i="2"/>
  <c r="R57"/>
  <c r="AX32" i="11" s="1"/>
  <c r="AF19" i="2"/>
  <c r="P19" s="1"/>
  <c r="AC19"/>
  <c r="R19"/>
  <c r="AX9" i="11" s="1"/>
  <c r="R50" i="2"/>
  <c r="AX28" i="11" s="1"/>
  <c r="R28" i="2"/>
  <c r="P36"/>
  <c r="R27"/>
  <c r="R34"/>
  <c r="AD14"/>
  <c r="AE14" s="1"/>
  <c r="N14" s="1"/>
  <c r="P45"/>
  <c r="P58"/>
  <c r="Q36"/>
  <c r="CJ20" i="11" s="1"/>
  <c r="AD35" i="2"/>
  <c r="AE35" s="1"/>
  <c r="N35" s="1"/>
  <c r="P20"/>
  <c r="P29"/>
  <c r="P51"/>
  <c r="P52"/>
  <c r="S45"/>
  <c r="Q45"/>
  <c r="R45" s="1"/>
  <c r="AD51"/>
  <c r="AE51" s="1"/>
  <c r="N51" s="1"/>
  <c r="Q29"/>
  <c r="CJ16" i="11" s="1"/>
  <c r="S52" i="2"/>
  <c r="Q52"/>
  <c r="CJ30" i="11" s="1"/>
  <c r="AD36" i="2"/>
  <c r="AE36" s="1"/>
  <c r="N36" s="1"/>
  <c r="Q58"/>
  <c r="CJ33" i="11" s="1"/>
  <c r="Q35" i="2"/>
  <c r="CJ19" i="11" s="1"/>
  <c r="AD58" i="2"/>
  <c r="AE58" s="1"/>
  <c r="N58" s="1"/>
  <c r="P35"/>
  <c r="P41"/>
  <c r="AD20"/>
  <c r="AE20" s="1"/>
  <c r="N20" s="1"/>
  <c r="AD29"/>
  <c r="AE29" s="1"/>
  <c r="N29" s="1"/>
  <c r="Q51"/>
  <c r="CJ29" i="11" s="1"/>
  <c r="AD41" i="2"/>
  <c r="AE41" s="1"/>
  <c r="N41" s="1"/>
  <c r="Q41"/>
  <c r="CJ22" i="11" s="1"/>
  <c r="Q20" i="2"/>
  <c r="P13"/>
  <c r="S21"/>
  <c r="P21"/>
  <c r="P14"/>
  <c r="Q21"/>
  <c r="S13"/>
  <c r="Q13"/>
  <c r="AD13"/>
  <c r="AE13" s="1"/>
  <c r="N13" s="1"/>
  <c r="S14"/>
  <c r="Q14"/>
  <c r="X45"/>
  <c r="AB8"/>
  <c r="AF8" s="1"/>
  <c r="BR7" i="11" l="1"/>
  <c r="BR30"/>
  <c r="BR16"/>
  <c r="CK6"/>
  <c r="CK11"/>
  <c r="CK30"/>
  <c r="CK26"/>
  <c r="AX15"/>
  <c r="AX14"/>
  <c r="CK32"/>
  <c r="CJ7"/>
  <c r="CK7"/>
  <c r="CJ11"/>
  <c r="CR11"/>
  <c r="CR10"/>
  <c r="CJ10"/>
  <c r="CJ6"/>
  <c r="AX26"/>
  <c r="AX18"/>
  <c r="AJ43" i="9"/>
  <c r="AJ51"/>
  <c r="AJ27"/>
  <c r="R20" i="2"/>
  <c r="R41"/>
  <c r="R52"/>
  <c r="R36"/>
  <c r="R21"/>
  <c r="R51"/>
  <c r="R35"/>
  <c r="R58"/>
  <c r="R29"/>
  <c r="R13"/>
  <c r="R14"/>
  <c r="X44"/>
  <c r="AC8"/>
  <c r="AX19" i="11" l="1"/>
  <c r="AX7"/>
  <c r="AX6"/>
  <c r="AX33"/>
  <c r="AX29"/>
  <c r="AX20"/>
  <c r="AX22"/>
  <c r="AX16"/>
  <c r="AX11"/>
  <c r="AX30"/>
  <c r="AX10"/>
  <c r="X43" i="2"/>
  <c r="U7"/>
  <c r="Z7" s="1"/>
  <c r="T7"/>
  <c r="X42" l="1"/>
  <c r="AB7"/>
  <c r="AC7" s="1"/>
  <c r="L59"/>
  <c r="L64"/>
  <c r="G59"/>
  <c r="J59" s="1"/>
  <c r="G65"/>
  <c r="H65" s="1"/>
  <c r="M64"/>
  <c r="U64" s="1"/>
  <c r="Z64" s="1"/>
  <c r="M59"/>
  <c r="U59" s="1"/>
  <c r="Z59" s="1"/>
  <c r="G64"/>
  <c r="I64" s="1"/>
  <c r="AU34" i="11" l="1"/>
  <c r="CI36"/>
  <c r="AW36"/>
  <c r="AW34"/>
  <c r="CI34"/>
  <c r="AI64" i="9"/>
  <c r="AK64" s="1"/>
  <c r="AL64" s="1"/>
  <c r="AI36"/>
  <c r="AK36" s="1"/>
  <c r="AL36" s="1"/>
  <c r="AI20"/>
  <c r="AK20" s="1"/>
  <c r="AL20" s="1"/>
  <c r="AI29"/>
  <c r="AK29" s="1"/>
  <c r="AL29" s="1"/>
  <c r="AI52"/>
  <c r="AK52" s="1"/>
  <c r="AL52" s="1"/>
  <c r="AI59"/>
  <c r="AK59" s="1"/>
  <c r="AL59" s="1"/>
  <c r="AI13"/>
  <c r="AK13" s="1"/>
  <c r="AL13" s="1"/>
  <c r="AI21"/>
  <c r="AK21" s="1"/>
  <c r="AL21" s="1"/>
  <c r="AI14"/>
  <c r="AK14" s="1"/>
  <c r="AL14" s="1"/>
  <c r="AI44"/>
  <c r="AK44" s="1"/>
  <c r="AL44" s="1"/>
  <c r="AI35"/>
  <c r="AK35" s="1"/>
  <c r="AL35" s="1"/>
  <c r="AI45"/>
  <c r="AK45" s="1"/>
  <c r="AL45" s="1"/>
  <c r="AI42"/>
  <c r="AK42" s="1"/>
  <c r="AL42" s="1"/>
  <c r="AI65"/>
  <c r="AK65" s="1"/>
  <c r="AL65" s="1"/>
  <c r="AI58"/>
  <c r="AK58" s="1"/>
  <c r="AL58" s="1"/>
  <c r="AI41"/>
  <c r="AK41" s="1"/>
  <c r="AL41" s="1"/>
  <c r="AI28"/>
  <c r="AK28" s="1"/>
  <c r="AL28" s="1"/>
  <c r="AI34"/>
  <c r="AK34" s="1"/>
  <c r="AL34" s="1"/>
  <c r="AI27"/>
  <c r="AK27" s="1"/>
  <c r="AL27" s="1"/>
  <c r="AI51"/>
  <c r="AK51" s="1"/>
  <c r="AL51" s="1"/>
  <c r="AI43"/>
  <c r="AK43" s="1"/>
  <c r="AL43" s="1"/>
  <c r="K19" i="2"/>
  <c r="AV9" i="11" s="1"/>
  <c r="K57" i="2"/>
  <c r="AV32" i="11" s="1"/>
  <c r="K50" i="2"/>
  <c r="AV28" i="11" s="1"/>
  <c r="K26" i="2"/>
  <c r="AV13" i="11" s="1"/>
  <c r="K8" i="2"/>
  <c r="T64"/>
  <c r="AB64" s="1"/>
  <c r="AC64" s="1"/>
  <c r="T59"/>
  <c r="AB59" s="1"/>
  <c r="X41"/>
  <c r="K13"/>
  <c r="K36"/>
  <c r="K35"/>
  <c r="K28"/>
  <c r="K42"/>
  <c r="K34"/>
  <c r="K52"/>
  <c r="K44"/>
  <c r="K14"/>
  <c r="K27"/>
  <c r="K21"/>
  <c r="K41"/>
  <c r="K29"/>
  <c r="K51"/>
  <c r="K43"/>
  <c r="K45"/>
  <c r="K58"/>
  <c r="K20"/>
  <c r="K59"/>
  <c r="AA59"/>
  <c r="O59" s="1"/>
  <c r="I59"/>
  <c r="H59"/>
  <c r="I65"/>
  <c r="J64"/>
  <c r="H64"/>
  <c r="J65"/>
  <c r="K64"/>
  <c r="AU36" i="11" l="1"/>
  <c r="AV36"/>
  <c r="AV34"/>
  <c r="AV24"/>
  <c r="AV30"/>
  <c r="AU37"/>
  <c r="AV10"/>
  <c r="AV29"/>
  <c r="AV14"/>
  <c r="AV18"/>
  <c r="AV20"/>
  <c r="AV33"/>
  <c r="AV16"/>
  <c r="AV7"/>
  <c r="AV23"/>
  <c r="AV6"/>
  <c r="AV26"/>
  <c r="AV22"/>
  <c r="AV25"/>
  <c r="AV15"/>
  <c r="AV11"/>
  <c r="AV19"/>
  <c r="AM51" i="9"/>
  <c r="AN51"/>
  <c r="AM41"/>
  <c r="AN41"/>
  <c r="AN45"/>
  <c r="AM45"/>
  <c r="AN21"/>
  <c r="AM21"/>
  <c r="AN29"/>
  <c r="AM29"/>
  <c r="AN27"/>
  <c r="AM27"/>
  <c r="AN58"/>
  <c r="AM58"/>
  <c r="AM35"/>
  <c r="AN35"/>
  <c r="AN13"/>
  <c r="AM13"/>
  <c r="AN20"/>
  <c r="AM20"/>
  <c r="AM34"/>
  <c r="AN34"/>
  <c r="AN65"/>
  <c r="AM65"/>
  <c r="AM44"/>
  <c r="AN44"/>
  <c r="AM59"/>
  <c r="AN59"/>
  <c r="AM36"/>
  <c r="AN36"/>
  <c r="AN43"/>
  <c r="AM43"/>
  <c r="AN28"/>
  <c r="AM28"/>
  <c r="AN42"/>
  <c r="AM42"/>
  <c r="AM14"/>
  <c r="AN14"/>
  <c r="AM52"/>
  <c r="AN52"/>
  <c r="AN64"/>
  <c r="AM64"/>
  <c r="AI41" i="2"/>
  <c r="AI26"/>
  <c r="AI50"/>
  <c r="AI57"/>
  <c r="AI19"/>
  <c r="AJ26"/>
  <c r="AJ50"/>
  <c r="AJ57"/>
  <c r="AJ19"/>
  <c r="AJ58"/>
  <c r="AA65"/>
  <c r="O65" s="1"/>
  <c r="AD65" s="1"/>
  <c r="AE65" s="1"/>
  <c r="AJ51"/>
  <c r="AJ34"/>
  <c r="AJ36"/>
  <c r="AJ42"/>
  <c r="AJ45"/>
  <c r="AJ41"/>
  <c r="AJ44"/>
  <c r="AA64"/>
  <c r="O64" s="1"/>
  <c r="S64" s="1"/>
  <c r="AJ43"/>
  <c r="AJ52"/>
  <c r="AJ35"/>
  <c r="AJ28"/>
  <c r="AJ21"/>
  <c r="AJ20"/>
  <c r="AJ27"/>
  <c r="AJ29"/>
  <c r="AJ14"/>
  <c r="AJ13"/>
  <c r="AI13"/>
  <c r="AI27"/>
  <c r="AI51"/>
  <c r="AI21"/>
  <c r="AI44"/>
  <c r="AI42"/>
  <c r="AK42" s="1"/>
  <c r="AL42" s="1"/>
  <c r="AM42" s="1"/>
  <c r="AI35"/>
  <c r="AI34"/>
  <c r="AK34" s="1"/>
  <c r="AL34" s="1"/>
  <c r="AM34" s="1"/>
  <c r="AI29"/>
  <c r="AI58"/>
  <c r="AI43"/>
  <c r="AI20"/>
  <c r="AK20" s="1"/>
  <c r="AL20" s="1"/>
  <c r="AM20" s="1"/>
  <c r="AI45"/>
  <c r="AI52"/>
  <c r="AI28"/>
  <c r="AI14"/>
  <c r="AI36"/>
  <c r="X36"/>
  <c r="AF65"/>
  <c r="AD59"/>
  <c r="AE59" s="1"/>
  <c r="N59" s="1"/>
  <c r="AF59"/>
  <c r="P59" s="1"/>
  <c r="AC59"/>
  <c r="S59"/>
  <c r="Q59"/>
  <c r="CJ34" i="11" s="1"/>
  <c r="AF64" i="2"/>
  <c r="CK34" i="11" l="1"/>
  <c r="CK36"/>
  <c r="AO42" i="9"/>
  <c r="AR42" s="1"/>
  <c r="AO43"/>
  <c r="AR43" s="1"/>
  <c r="AO65"/>
  <c r="AP65" s="1"/>
  <c r="AO20"/>
  <c r="AO27"/>
  <c r="AP27" s="1"/>
  <c r="AO51"/>
  <c r="AQ51" s="1"/>
  <c r="AO21"/>
  <c r="AP21" s="1"/>
  <c r="AO14"/>
  <c r="AO36"/>
  <c r="BS20" i="11" s="1"/>
  <c r="AO44" i="9"/>
  <c r="AO41"/>
  <c r="AK41" i="2"/>
  <c r="AL41" s="1"/>
  <c r="AO58" i="9"/>
  <c r="AQ58" s="1"/>
  <c r="AO52"/>
  <c r="AO59"/>
  <c r="AO35"/>
  <c r="BS19" i="11" s="1"/>
  <c r="AP42" i="9"/>
  <c r="AP43"/>
  <c r="AQ65"/>
  <c r="AP20"/>
  <c r="AQ20"/>
  <c r="AP14"/>
  <c r="AQ14"/>
  <c r="AO34"/>
  <c r="BS18" i="11" s="1"/>
  <c r="AO13" i="9"/>
  <c r="AO64"/>
  <c r="AO28"/>
  <c r="BS15" i="11" s="1"/>
  <c r="AO29" i="9"/>
  <c r="BS16" i="11" s="1"/>
  <c r="AO45" i="9"/>
  <c r="AR45" s="1"/>
  <c r="AK57" i="2"/>
  <c r="AL57" s="1"/>
  <c r="AK50"/>
  <c r="AL50" s="1"/>
  <c r="AK26"/>
  <c r="AL26" s="1"/>
  <c r="AK19"/>
  <c r="AL19" s="1"/>
  <c r="S65"/>
  <c r="AK52"/>
  <c r="AL52" s="1"/>
  <c r="AM52" s="1"/>
  <c r="R59"/>
  <c r="Q65"/>
  <c r="O8"/>
  <c r="AD8" s="1"/>
  <c r="AE8" s="1"/>
  <c r="Q64"/>
  <c r="CJ36" i="11" s="1"/>
  <c r="P65" i="2"/>
  <c r="P8" s="1"/>
  <c r="P64"/>
  <c r="AK28"/>
  <c r="AL28" s="1"/>
  <c r="AM28" s="1"/>
  <c r="AK13"/>
  <c r="AL13" s="1"/>
  <c r="AN13" s="1"/>
  <c r="AK43"/>
  <c r="AL43" s="1"/>
  <c r="AM43" s="1"/>
  <c r="AK51"/>
  <c r="AL51" s="1"/>
  <c r="AM51" s="1"/>
  <c r="AK58"/>
  <c r="AL58" s="1"/>
  <c r="AN58" s="1"/>
  <c r="AK27"/>
  <c r="AL27" s="1"/>
  <c r="AM27" s="1"/>
  <c r="AD64"/>
  <c r="AE64" s="1"/>
  <c r="N64" s="1"/>
  <c r="AK36"/>
  <c r="AL36" s="1"/>
  <c r="AM36" s="1"/>
  <c r="AK45"/>
  <c r="AL45" s="1"/>
  <c r="AM45" s="1"/>
  <c r="AK44"/>
  <c r="AL44" s="1"/>
  <c r="AM44" s="1"/>
  <c r="AK35"/>
  <c r="AL35" s="1"/>
  <c r="AM35" s="1"/>
  <c r="AK29"/>
  <c r="AL29" s="1"/>
  <c r="AM29" s="1"/>
  <c r="AK14"/>
  <c r="AL14" s="1"/>
  <c r="AN14" s="1"/>
  <c r="AN41"/>
  <c r="AM41"/>
  <c r="AK21"/>
  <c r="AL21" s="1"/>
  <c r="AM21" s="1"/>
  <c r="X35"/>
  <c r="AN20"/>
  <c r="AN34"/>
  <c r="AN42"/>
  <c r="N65"/>
  <c r="N8" s="1"/>
  <c r="H7"/>
  <c r="J7" s="1"/>
  <c r="AQ21" i="9" l="1"/>
  <c r="AP51"/>
  <c r="BT29" i="11" s="1"/>
  <c r="AP36" i="9"/>
  <c r="AQ42"/>
  <c r="CV23" i="11" s="1"/>
  <c r="AQ36" i="9"/>
  <c r="CV20" i="11" s="1"/>
  <c r="AQ27" i="9"/>
  <c r="CV14" i="11" s="1"/>
  <c r="CT16"/>
  <c r="CU16" s="1"/>
  <c r="BU16"/>
  <c r="CT20"/>
  <c r="CU20" s="1"/>
  <c r="BU20"/>
  <c r="CT15"/>
  <c r="CU15" s="1"/>
  <c r="BU15"/>
  <c r="CT19"/>
  <c r="CU19" s="1"/>
  <c r="BU19"/>
  <c r="CT18"/>
  <c r="CU18" s="1"/>
  <c r="BU18"/>
  <c r="AQ43" i="9"/>
  <c r="CV24" i="11" s="1"/>
  <c r="CV29"/>
  <c r="BT20"/>
  <c r="BT14"/>
  <c r="AR14" i="9"/>
  <c r="BS7" i="11"/>
  <c r="AR20" i="9"/>
  <c r="BS10" i="11"/>
  <c r="CW26"/>
  <c r="CV11"/>
  <c r="BT37"/>
  <c r="AR59" i="9"/>
  <c r="BS34" i="11"/>
  <c r="AR21" i="9"/>
  <c r="BS11" i="11"/>
  <c r="AR65" i="9"/>
  <c r="BS37" i="11"/>
  <c r="AR64" i="9"/>
  <c r="BS36" i="11"/>
  <c r="AR13" i="9"/>
  <c r="BS6" i="11"/>
  <c r="CV7"/>
  <c r="BT11"/>
  <c r="CV10"/>
  <c r="CV37"/>
  <c r="AR52" i="9"/>
  <c r="BS30" i="11"/>
  <c r="AR51" i="9"/>
  <c r="BS29" i="11"/>
  <c r="CW24"/>
  <c r="CV33"/>
  <c r="BT7"/>
  <c r="BT10"/>
  <c r="AR58" i="9"/>
  <c r="BS33" i="11"/>
  <c r="AR27" i="9"/>
  <c r="BS14" i="11"/>
  <c r="CW23"/>
  <c r="AX34"/>
  <c r="CK37"/>
  <c r="CJ37"/>
  <c r="AP58" i="9"/>
  <c r="AR29"/>
  <c r="AR28"/>
  <c r="AP41"/>
  <c r="AR41"/>
  <c r="AQ44"/>
  <c r="AR44"/>
  <c r="AR34"/>
  <c r="AR36"/>
  <c r="AR35"/>
  <c r="AP44"/>
  <c r="AQ41"/>
  <c r="AN52" i="2"/>
  <c r="AO52" s="1"/>
  <c r="AP29" i="9"/>
  <c r="AQ29"/>
  <c r="AP34"/>
  <c r="AQ34"/>
  <c r="AQ28"/>
  <c r="AP28"/>
  <c r="AP35"/>
  <c r="AQ35"/>
  <c r="AP64"/>
  <c r="AQ64"/>
  <c r="AQ59"/>
  <c r="AP59"/>
  <c r="AQ45"/>
  <c r="AP45"/>
  <c r="AP13"/>
  <c r="AQ13"/>
  <c r="AP52"/>
  <c r="AQ52"/>
  <c r="AJ59" i="2"/>
  <c r="AN43"/>
  <c r="AO43" s="1"/>
  <c r="S8"/>
  <c r="AI59"/>
  <c r="AM50"/>
  <c r="AN50"/>
  <c r="AM19"/>
  <c r="AN19"/>
  <c r="AM26"/>
  <c r="AN26"/>
  <c r="AM57"/>
  <c r="AN57"/>
  <c r="R65"/>
  <c r="Q8"/>
  <c r="AN28"/>
  <c r="AO28" s="1"/>
  <c r="AN27"/>
  <c r="AO27" s="1"/>
  <c r="AN44"/>
  <c r="AO44" s="1"/>
  <c r="AM58"/>
  <c r="AO58" s="1"/>
  <c r="AN29"/>
  <c r="AO29" s="1"/>
  <c r="R64"/>
  <c r="AX36" i="11" s="1"/>
  <c r="AN51" i="2"/>
  <c r="AO51" s="1"/>
  <c r="X34"/>
  <c r="AN36"/>
  <c r="AO36" s="1"/>
  <c r="AN35"/>
  <c r="AO35" s="1"/>
  <c r="AN45"/>
  <c r="AO45" s="1"/>
  <c r="AM14"/>
  <c r="AO14" s="1"/>
  <c r="AM13"/>
  <c r="AO13" s="1"/>
  <c r="AO41"/>
  <c r="AN21"/>
  <c r="AO21" s="1"/>
  <c r="AO20"/>
  <c r="AO34"/>
  <c r="AO42"/>
  <c r="I7"/>
  <c r="AA7"/>
  <c r="O7" s="1"/>
  <c r="AF7"/>
  <c r="AR16" i="9" l="1"/>
  <c r="AR61"/>
  <c r="AR54"/>
  <c r="AR10"/>
  <c r="AR38"/>
  <c r="AR47"/>
  <c r="CT14" i="11"/>
  <c r="CU14" s="1"/>
  <c r="BU14"/>
  <c r="CT29"/>
  <c r="CU29" s="1"/>
  <c r="BU29"/>
  <c r="CT6"/>
  <c r="CU6" s="1"/>
  <c r="BU6"/>
  <c r="CT37"/>
  <c r="CU37" s="1"/>
  <c r="BU37"/>
  <c r="CT34"/>
  <c r="CU34" s="1"/>
  <c r="BU34"/>
  <c r="CT10"/>
  <c r="CU10" s="1"/>
  <c r="BU10"/>
  <c r="CT33"/>
  <c r="CU33" s="1"/>
  <c r="BU33"/>
  <c r="CT30"/>
  <c r="CU30" s="1"/>
  <c r="BU30"/>
  <c r="CT36"/>
  <c r="CU36" s="1"/>
  <c r="BU36"/>
  <c r="CT11"/>
  <c r="CU11" s="1"/>
  <c r="BU11"/>
  <c r="CT7"/>
  <c r="CU7" s="1"/>
  <c r="BU7"/>
  <c r="BT6"/>
  <c r="CV26"/>
  <c r="BT15"/>
  <c r="BT30"/>
  <c r="CV15"/>
  <c r="CV25"/>
  <c r="BT34"/>
  <c r="CV36"/>
  <c r="CV19"/>
  <c r="CV18"/>
  <c r="CW19"/>
  <c r="CW18"/>
  <c r="CW22"/>
  <c r="CW16"/>
  <c r="CV30"/>
  <c r="CV34"/>
  <c r="BT36"/>
  <c r="BT19"/>
  <c r="BT18"/>
  <c r="CW14"/>
  <c r="CW29"/>
  <c r="CW36"/>
  <c r="CW11"/>
  <c r="CW10"/>
  <c r="CV16"/>
  <c r="CV22"/>
  <c r="CW20"/>
  <c r="CW25"/>
  <c r="CW15"/>
  <c r="BT33"/>
  <c r="CV6"/>
  <c r="BT16"/>
  <c r="CW33"/>
  <c r="CW30"/>
  <c r="CW6"/>
  <c r="CW37"/>
  <c r="CW34"/>
  <c r="CW7"/>
  <c r="AR42" i="2"/>
  <c r="AY23" i="11"/>
  <c r="BS23"/>
  <c r="AR21" i="2"/>
  <c r="AY11" i="11"/>
  <c r="AR45" i="2"/>
  <c r="BS26" i="11"/>
  <c r="AY26"/>
  <c r="AR51" i="2"/>
  <c r="AY29" i="11"/>
  <c r="AR29" i="2"/>
  <c r="AY16" i="11"/>
  <c r="AR34" i="2"/>
  <c r="AY18" i="11"/>
  <c r="AR41" i="2"/>
  <c r="AY22" i="11"/>
  <c r="BS22"/>
  <c r="AR35" i="2"/>
  <c r="AY19" i="11"/>
  <c r="AX37"/>
  <c r="AR43" i="2"/>
  <c r="AY24" i="11"/>
  <c r="BS24"/>
  <c r="AR20" i="2"/>
  <c r="AY10" i="11"/>
  <c r="AR36" i="2"/>
  <c r="AY20" i="11"/>
  <c r="AR58" i="2"/>
  <c r="AY33" i="11"/>
  <c r="AR27" i="2"/>
  <c r="AY14" i="11"/>
  <c r="AR13" i="2"/>
  <c r="AY6" i="11"/>
  <c r="AR52" i="2"/>
  <c r="AY30" i="11"/>
  <c r="AR14" i="2"/>
  <c r="AR10" s="1"/>
  <c r="AY7" i="11"/>
  <c r="AR44" i="2"/>
  <c r="BS25" i="11"/>
  <c r="AY25"/>
  <c r="AR28" i="2"/>
  <c r="AY15" i="11"/>
  <c r="AR23" i="9"/>
  <c r="AR31"/>
  <c r="AQ42" i="2"/>
  <c r="AQ41"/>
  <c r="AQ20"/>
  <c r="AQ13"/>
  <c r="AQ36"/>
  <c r="AQ29"/>
  <c r="AQ44"/>
  <c r="AQ21"/>
  <c r="AQ34"/>
  <c r="AQ52"/>
  <c r="AQ14"/>
  <c r="AQ28"/>
  <c r="AQ43"/>
  <c r="AQ45"/>
  <c r="AQ51"/>
  <c r="AQ35"/>
  <c r="AQ58"/>
  <c r="AQ27"/>
  <c r="R8"/>
  <c r="AP43"/>
  <c r="AK59"/>
  <c r="AL59" s="1"/>
  <c r="AN59" s="1"/>
  <c r="AP28"/>
  <c r="AI65"/>
  <c r="AJ65"/>
  <c r="AO57"/>
  <c r="AO26"/>
  <c r="AO50"/>
  <c r="AO19"/>
  <c r="AY9" i="11" s="1"/>
  <c r="AP57" i="2"/>
  <c r="AP50"/>
  <c r="AP44"/>
  <c r="AP36"/>
  <c r="AP45"/>
  <c r="AJ64"/>
  <c r="AI64"/>
  <c r="AP41"/>
  <c r="AP13"/>
  <c r="AP34"/>
  <c r="AP35"/>
  <c r="AP42"/>
  <c r="AP51"/>
  <c r="AP52"/>
  <c r="AP58"/>
  <c r="AP27"/>
  <c r="AP29"/>
  <c r="AP20"/>
  <c r="AP21"/>
  <c r="AP14"/>
  <c r="P7"/>
  <c r="S7"/>
  <c r="Q7"/>
  <c r="R7" s="1"/>
  <c r="AD7"/>
  <c r="AE7" s="1"/>
  <c r="N7" s="1"/>
  <c r="AR31" l="1"/>
  <c r="CL25" i="11"/>
  <c r="CM25" s="1"/>
  <c r="BA25"/>
  <c r="CL22"/>
  <c r="CM22" s="1"/>
  <c r="BA22"/>
  <c r="CL16"/>
  <c r="CM16" s="1"/>
  <c r="BA16"/>
  <c r="CL26"/>
  <c r="CM26" s="1"/>
  <c r="BA26"/>
  <c r="CT25"/>
  <c r="CU25" s="1"/>
  <c r="BU25"/>
  <c r="CL30"/>
  <c r="CM30" s="1"/>
  <c r="BA30"/>
  <c r="CL14"/>
  <c r="CM14" s="1"/>
  <c r="BA14"/>
  <c r="CL20"/>
  <c r="CM20" s="1"/>
  <c r="BA20"/>
  <c r="CT24"/>
  <c r="CU24" s="1"/>
  <c r="BU24"/>
  <c r="CL19"/>
  <c r="CM19" s="1"/>
  <c r="BA19"/>
  <c r="CT26"/>
  <c r="CU26" s="1"/>
  <c r="BU26"/>
  <c r="CT23"/>
  <c r="CU23" s="1"/>
  <c r="BU23"/>
  <c r="CL15"/>
  <c r="CM15" s="1"/>
  <c r="BA15"/>
  <c r="AR47" i="2"/>
  <c r="CL24" i="11"/>
  <c r="CM24" s="1"/>
  <c r="BA24"/>
  <c r="CL18"/>
  <c r="CM18" s="1"/>
  <c r="BA18"/>
  <c r="CL29"/>
  <c r="CM29" s="1"/>
  <c r="BA29"/>
  <c r="CL23"/>
  <c r="CM23" s="1"/>
  <c r="BA23"/>
  <c r="CL7"/>
  <c r="CM7" s="1"/>
  <c r="BA7"/>
  <c r="CL6"/>
  <c r="CM6" s="1"/>
  <c r="BA6"/>
  <c r="CL33"/>
  <c r="CM33" s="1"/>
  <c r="BA33"/>
  <c r="CL10"/>
  <c r="CM10" s="1"/>
  <c r="BA10"/>
  <c r="CT22"/>
  <c r="CU22" s="1"/>
  <c r="BU22"/>
  <c r="CL11"/>
  <c r="CM11" s="1"/>
  <c r="BA11"/>
  <c r="AR23" i="2"/>
  <c r="AZ10" i="11"/>
  <c r="AY32"/>
  <c r="CN14"/>
  <c r="CN19"/>
  <c r="CN30"/>
  <c r="CN11"/>
  <c r="CN16"/>
  <c r="CN23"/>
  <c r="CO11"/>
  <c r="AM59" i="2"/>
  <c r="AO59" s="1"/>
  <c r="AY34" i="11" s="1"/>
  <c r="AZ16"/>
  <c r="AZ29"/>
  <c r="AZ6"/>
  <c r="AZ20"/>
  <c r="BT24"/>
  <c r="AZ24"/>
  <c r="CN24"/>
  <c r="CN7"/>
  <c r="CO25"/>
  <c r="CO30"/>
  <c r="CO14"/>
  <c r="CO20"/>
  <c r="CO22"/>
  <c r="CO16"/>
  <c r="AZ30"/>
  <c r="CN26"/>
  <c r="CN10"/>
  <c r="AZ7"/>
  <c r="AZ14"/>
  <c r="AZ23"/>
  <c r="BT23"/>
  <c r="BT22"/>
  <c r="AZ22"/>
  <c r="AZ25"/>
  <c r="BT25"/>
  <c r="AY28"/>
  <c r="CN33"/>
  <c r="CN29"/>
  <c r="CN18"/>
  <c r="CN25"/>
  <c r="CN20"/>
  <c r="CN22"/>
  <c r="CO15"/>
  <c r="CO24"/>
  <c r="CO19"/>
  <c r="CO26"/>
  <c r="AZ18"/>
  <c r="AZ32"/>
  <c r="AZ11"/>
  <c r="AZ33"/>
  <c r="AZ19"/>
  <c r="BT26"/>
  <c r="AZ26"/>
  <c r="AZ28"/>
  <c r="AY13"/>
  <c r="AZ15"/>
  <c r="CN15"/>
  <c r="CN6"/>
  <c r="AR16" i="2"/>
  <c r="CO7" i="11"/>
  <c r="CO6"/>
  <c r="CO33"/>
  <c r="CO10"/>
  <c r="CO18"/>
  <c r="CO29"/>
  <c r="CO23"/>
  <c r="AR38" i="2"/>
  <c r="AP26"/>
  <c r="AK65"/>
  <c r="AL65" s="1"/>
  <c r="AM65" s="1"/>
  <c r="AP19"/>
  <c r="AK64"/>
  <c r="AL64" s="1"/>
  <c r="AN64" s="1"/>
  <c r="CL34" i="11" l="1"/>
  <c r="CM34" s="1"/>
  <c r="BA34"/>
  <c r="AN65" i="2"/>
  <c r="AO65" s="1"/>
  <c r="AZ13" i="11"/>
  <c r="AZ9"/>
  <c r="AR59" i="2"/>
  <c r="AQ59"/>
  <c r="AM64"/>
  <c r="AO64" s="1"/>
  <c r="AP59"/>
  <c r="AR64" l="1"/>
  <c r="AY36" i="11"/>
  <c r="AR65" i="2"/>
  <c r="AY37" i="11"/>
  <c r="AZ34"/>
  <c r="CN34"/>
  <c r="CO34"/>
  <c r="AR54" i="2"/>
  <c r="AP65"/>
  <c r="AQ65"/>
  <c r="AQ64"/>
  <c r="AP64"/>
  <c r="X29"/>
  <c r="AR61" l="1"/>
  <c r="CL37" i="11"/>
  <c r="CM37" s="1"/>
  <c r="BA37"/>
  <c r="CL36"/>
  <c r="CM36" s="1"/>
  <c r="BA36"/>
  <c r="AZ36"/>
  <c r="AZ37"/>
  <c r="CN37"/>
  <c r="CO37"/>
  <c r="CN36"/>
  <c r="CO36"/>
  <c r="X28" i="2"/>
  <c r="X14"/>
  <c r="X13" l="1"/>
  <c r="X27"/>
  <c r="X26" l="1"/>
</calcChain>
</file>

<file path=xl/sharedStrings.xml><?xml version="1.0" encoding="utf-8"?>
<sst xmlns="http://schemas.openxmlformats.org/spreadsheetml/2006/main" count="2777" uniqueCount="922">
  <si>
    <t>Project Name</t>
  </si>
  <si>
    <t>Location (City, State)</t>
  </si>
  <si>
    <t>Bldg Type (Office, Hotel)</t>
  </si>
  <si>
    <t>Floor-Floor Height (ft)</t>
  </si>
  <si>
    <t>Typical Floor Length (ft)</t>
  </si>
  <si>
    <t>Typical Floor Width (ft)</t>
  </si>
  <si>
    <t>Outdoor WB (F)</t>
  </si>
  <si>
    <t>Indoor DB (F)</t>
  </si>
  <si>
    <t>Indoor WB (F)</t>
  </si>
  <si>
    <t>Mixed Use High Rise (Description)</t>
  </si>
  <si>
    <t>SMMR</t>
  </si>
  <si>
    <t>WNTR</t>
  </si>
  <si>
    <t>DESIGN (INPUT)</t>
  </si>
  <si>
    <t>USER  INPUT</t>
  </si>
  <si>
    <t>feet</t>
  </si>
  <si>
    <t>meters</t>
  </si>
  <si>
    <t>psi</t>
  </si>
  <si>
    <t>in.Hg</t>
  </si>
  <si>
    <t>K-Pa</t>
  </si>
  <si>
    <t>in.H2O</t>
  </si>
  <si>
    <t>DB</t>
  </si>
  <si>
    <t>WB</t>
  </si>
  <si>
    <t>lbs/ft3</t>
  </si>
  <si>
    <t>Leakage Area as % of Envel</t>
  </si>
  <si>
    <t>Envel Leakage Flow Coeff</t>
  </si>
  <si>
    <t>Area per Flr (ft2)</t>
  </si>
  <si>
    <t>Total Section Flr Area (ft2)</t>
  </si>
  <si>
    <t>Envelope Area per Flr (ft2)</t>
  </si>
  <si>
    <t>Totl Section Envel Area (ft2)</t>
  </si>
  <si>
    <t>Number of Typical Floors</t>
  </si>
  <si>
    <t>Envelope Length (ft)</t>
  </si>
  <si>
    <t>ID No.</t>
  </si>
  <si>
    <t># Flrs</t>
  </si>
  <si>
    <t>Bldg-H</t>
  </si>
  <si>
    <t>Ntrl-H</t>
  </si>
  <si>
    <t>Site-Alt</t>
  </si>
  <si>
    <t>DP</t>
  </si>
  <si>
    <t>RH</t>
  </si>
  <si>
    <t>V</t>
  </si>
  <si>
    <t>d</t>
  </si>
  <si>
    <t>W</t>
  </si>
  <si>
    <t>H</t>
  </si>
  <si>
    <t>Tdb</t>
  </si>
  <si>
    <t>Twb</t>
  </si>
  <si>
    <t>F</t>
  </si>
  <si>
    <t>%</t>
  </si>
  <si>
    <t>ft3/lb</t>
  </si>
  <si>
    <t>lbs/b</t>
  </si>
  <si>
    <t>btu/lb</t>
  </si>
  <si>
    <t>R</t>
  </si>
  <si>
    <t>PWSwb</t>
  </si>
  <si>
    <t>WSwb</t>
  </si>
  <si>
    <t>PWSdb</t>
  </si>
  <si>
    <t>VPs</t>
  </si>
  <si>
    <t>VPa</t>
  </si>
  <si>
    <t>a</t>
  </si>
  <si>
    <t>WSdb</t>
  </si>
  <si>
    <t xml:space="preserve"> Outdoor Std. Atm. Press. @ Altit</t>
  </si>
  <si>
    <t>Level</t>
  </si>
  <si>
    <t>Flr No.</t>
  </si>
  <si>
    <t>Wnd Vel</t>
  </si>
  <si>
    <t>mph</t>
  </si>
  <si>
    <t>In.Hg</t>
  </si>
  <si>
    <t>In.H2O</t>
  </si>
  <si>
    <t>PSI</t>
  </si>
  <si>
    <t>NPL-H</t>
  </si>
  <si>
    <t xml:space="preserve"> Alt ref Sea-Lvl</t>
  </si>
  <si>
    <t>Summer Calcs</t>
  </si>
  <si>
    <r>
      <t>∆P</t>
    </r>
    <r>
      <rPr>
        <vertAlign val="subscript"/>
        <sz val="12"/>
        <color theme="1"/>
        <rFont val="Calibri"/>
        <family val="2"/>
      </rPr>
      <t>S</t>
    </r>
  </si>
  <si>
    <t>s =</t>
  </si>
  <si>
    <t xml:space="preserve">g = </t>
  </si>
  <si>
    <r>
      <t>∆P</t>
    </r>
    <r>
      <rPr>
        <vertAlign val="subscript"/>
        <sz val="12"/>
        <color theme="1"/>
        <rFont val="Calibri"/>
        <family val="2"/>
      </rPr>
      <t>W</t>
    </r>
  </si>
  <si>
    <t>∆P =</t>
  </si>
  <si>
    <t>∆P +</t>
  </si>
  <si>
    <t>Leakg Q</t>
  </si>
  <si>
    <t>ft3/min</t>
  </si>
  <si>
    <t>Floor</t>
  </si>
  <si>
    <t>Exfl -</t>
  </si>
  <si>
    <t>Infl +</t>
  </si>
  <si>
    <t>Leakage</t>
  </si>
  <si>
    <t>Q /</t>
  </si>
  <si>
    <t>Envel-A</t>
  </si>
  <si>
    <t>Project Analyst</t>
  </si>
  <si>
    <t>Outdoor DB (F)</t>
  </si>
  <si>
    <t>Convert K-Pa to</t>
  </si>
  <si>
    <t xml:space="preserve"> Convert in.H20 to</t>
  </si>
  <si>
    <r>
      <t>∆P</t>
    </r>
    <r>
      <rPr>
        <vertAlign val="subscript"/>
        <sz val="12"/>
        <color theme="1"/>
        <rFont val="Calibri"/>
        <family val="2"/>
      </rPr>
      <t>W</t>
    </r>
    <r>
      <rPr>
        <sz val="12"/>
        <color theme="1"/>
        <rFont val="Calibri"/>
        <family val="2"/>
      </rPr>
      <t>+∆P</t>
    </r>
    <r>
      <rPr>
        <vertAlign val="subscript"/>
        <sz val="12"/>
        <color theme="1"/>
        <rFont val="Calibri"/>
        <family val="2"/>
      </rPr>
      <t>S</t>
    </r>
  </si>
  <si>
    <r>
      <t>P</t>
    </r>
    <r>
      <rPr>
        <b/>
        <vertAlign val="subscript"/>
        <sz val="12"/>
        <color theme="1"/>
        <rFont val="Calibri"/>
        <family val="2"/>
      </rPr>
      <t xml:space="preserve">I </t>
    </r>
    <r>
      <rPr>
        <b/>
        <sz val="12"/>
        <color theme="1"/>
        <rFont val="Calibri"/>
        <family val="2"/>
      </rPr>
      <t>- P</t>
    </r>
    <r>
      <rPr>
        <b/>
        <vertAlign val="subscript"/>
        <sz val="12"/>
        <color theme="1"/>
        <rFont val="Calibri"/>
        <family val="2"/>
      </rPr>
      <t>O</t>
    </r>
  </si>
  <si>
    <t>SECTION No.</t>
  </si>
  <si>
    <t>SECTION-Height (ft)</t>
  </si>
  <si>
    <t>No. of Flrs (Incl Mech Flr)</t>
  </si>
  <si>
    <t>N</t>
  </si>
  <si>
    <t>Y</t>
  </si>
  <si>
    <t>Site Altit. (ft) ref Sea Level</t>
  </si>
  <si>
    <t>Wnd (mph) Grnd</t>
  </si>
  <si>
    <t>Wnd (mph) Roof</t>
  </si>
  <si>
    <t>Bldg Pressurization - Stack Effect &amp; Wind Press Infltr</t>
  </si>
  <si>
    <t>CALCULATED</t>
  </si>
  <si>
    <t>Envel Leakage Area (ft2)</t>
  </si>
  <si>
    <t xml:space="preserve">Mech/Grd Flr-Flr-H </t>
  </si>
  <si>
    <t>Mech/Grd % Envel Leakg</t>
  </si>
  <si>
    <t>Mech/Grd Flow C</t>
  </si>
  <si>
    <t>Description</t>
  </si>
  <si>
    <t>VCT (Description)</t>
  </si>
  <si>
    <t>Totl Section Leakg Area (ft2)</t>
  </si>
  <si>
    <t>Minneapolis, MN, USA (Description)</t>
  </si>
  <si>
    <t>P R O J E C T   D A T A</t>
  </si>
  <si>
    <t>Retail</t>
  </si>
  <si>
    <t>Lobby</t>
  </si>
  <si>
    <t>Tradg</t>
  </si>
  <si>
    <t>Office</t>
  </si>
  <si>
    <t>Hotel</t>
  </si>
  <si>
    <t>Condos</t>
  </si>
  <si>
    <t>Dining</t>
  </si>
  <si>
    <t>Htl-Srvc</t>
  </si>
  <si>
    <t>ID #</t>
  </si>
  <si>
    <t>Flr-#</t>
  </si>
  <si>
    <t>Bldg</t>
  </si>
  <si>
    <t>Sctn</t>
  </si>
  <si>
    <t>Calc</t>
  </si>
  <si>
    <t>Flr Type (Retl, Offc, )</t>
  </si>
  <si>
    <t>No. of Flrs</t>
  </si>
  <si>
    <t>Envel-Area per Flr (ft2)</t>
  </si>
  <si>
    <t>Leakg Flow Cf</t>
  </si>
  <si>
    <r>
      <t>Inside-Outside (P</t>
    </r>
    <r>
      <rPr>
        <vertAlign val="subscript"/>
        <sz val="12"/>
        <color theme="1"/>
        <rFont val="Calibri"/>
        <family val="2"/>
      </rPr>
      <t>I</t>
    </r>
    <r>
      <rPr>
        <sz val="12"/>
        <color theme="1"/>
        <rFont val="Calibri"/>
        <family val="2"/>
      </rPr>
      <t>-P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)</t>
    </r>
  </si>
  <si>
    <t>% Envel-Leakg</t>
  </si>
  <si>
    <t>Sea-Lvl</t>
  </si>
  <si>
    <t>Room</t>
  </si>
  <si>
    <t>Out</t>
  </si>
  <si>
    <t>In</t>
  </si>
  <si>
    <t>Location</t>
  </si>
  <si>
    <t>Indoor Conditions</t>
  </si>
  <si>
    <t>Sea-Level Conditions</t>
  </si>
  <si>
    <t>Site Altit</t>
  </si>
  <si>
    <t xml:space="preserve"> Total Bldg Area</t>
  </si>
  <si>
    <t xml:space="preserve"> Total Envel Area</t>
  </si>
  <si>
    <t>Wnd-Vel Diff</t>
  </si>
  <si>
    <t>Leakg-A</t>
  </si>
  <si>
    <t>Bldg Pressurization - Stack Effect &amp; Wind Press Infltr-Exfiltr</t>
  </si>
  <si>
    <t>Flr</t>
  </si>
  <si>
    <t>Hght</t>
  </si>
  <si>
    <t xml:space="preserve"> Envel Leakg A</t>
  </si>
  <si>
    <r>
      <t>Psychrometric Calculations for DP, RH, V, W, H, T</t>
    </r>
    <r>
      <rPr>
        <vertAlign val="subscript"/>
        <sz val="13"/>
        <color theme="1"/>
        <rFont val="Calibri"/>
        <family val="2"/>
      </rPr>
      <t>R</t>
    </r>
  </si>
  <si>
    <t>Q =</t>
  </si>
  <si>
    <r>
      <t>Mech Flr above Sctn (</t>
    </r>
    <r>
      <rPr>
        <b/>
        <sz val="12"/>
        <color theme="1"/>
        <rFont val="Calibri"/>
        <family val="2"/>
      </rPr>
      <t>Y/N</t>
    </r>
    <r>
      <rPr>
        <sz val="12"/>
        <color theme="1"/>
        <rFont val="Calibri"/>
        <family val="2"/>
      </rPr>
      <t>)</t>
    </r>
  </si>
  <si>
    <r>
      <t>In-Out PD (in.wg) P</t>
    </r>
    <r>
      <rPr>
        <vertAlign val="subscript"/>
        <sz val="12"/>
        <color theme="1"/>
        <rFont val="Calibri"/>
        <family val="2"/>
      </rPr>
      <t>I</t>
    </r>
    <r>
      <rPr>
        <sz val="12"/>
        <color theme="1"/>
        <rFont val="Calibri"/>
        <family val="2"/>
      </rPr>
      <t xml:space="preserve"> - P</t>
    </r>
    <r>
      <rPr>
        <vertAlign val="subscript"/>
        <sz val="12"/>
        <color theme="1"/>
        <rFont val="Calibri"/>
        <family val="2"/>
      </rPr>
      <t>O</t>
    </r>
  </si>
  <si>
    <t>Q cfm</t>
  </si>
  <si>
    <t>Q/Env-A</t>
  </si>
  <si>
    <t>Alt psi</t>
  </si>
  <si>
    <t>OA-DB</t>
  </si>
  <si>
    <t>OA-d</t>
  </si>
  <si>
    <t>Wnd-V</t>
  </si>
  <si>
    <t>Lvl #</t>
  </si>
  <si>
    <t>Hgt</t>
  </si>
  <si>
    <t>Lk-A</t>
  </si>
  <si>
    <t>Z</t>
  </si>
  <si>
    <t>f</t>
  </si>
  <si>
    <t>Cd =</t>
  </si>
  <si>
    <t>Q ft3/min</t>
  </si>
  <si>
    <t>Q lbs/hr</t>
  </si>
  <si>
    <t>SUMMER</t>
  </si>
  <si>
    <t>From Sheet 'SMMR-Calcs'</t>
  </si>
  <si>
    <t>WINTER</t>
  </si>
  <si>
    <t>From Sheet 'WNTR-Calcs'</t>
  </si>
  <si>
    <t>EX-1</t>
  </si>
  <si>
    <t>EX-2</t>
  </si>
  <si>
    <t>EX-3</t>
  </si>
  <si>
    <t>S-Flr</t>
  </si>
  <si>
    <t>descriptions</t>
  </si>
  <si>
    <t>% Avg Lkg</t>
  </si>
  <si>
    <t>Total Bldg-Area</t>
  </si>
  <si>
    <t>Total Envel-Area</t>
  </si>
  <si>
    <t>Total Leakg-Area</t>
  </si>
  <si>
    <t xml:space="preserve"> Flr-H + Sea-Lvl</t>
  </si>
  <si>
    <t>2-A</t>
  </si>
  <si>
    <t>4-k</t>
  </si>
  <si>
    <t>6 (x)</t>
  </si>
  <si>
    <t>SECTION No. &gt;&gt;</t>
  </si>
  <si>
    <t>SECTION (max = 5 chars) &gt;&gt;</t>
  </si>
  <si>
    <t>Prepare your Input Data offline here (up to 3 examples)</t>
  </si>
  <si>
    <t>A</t>
  </si>
  <si>
    <t>B</t>
  </si>
  <si>
    <t>C</t>
  </si>
  <si>
    <t>D</t>
  </si>
  <si>
    <t>E</t>
  </si>
  <si>
    <t>G</t>
  </si>
  <si>
    <t>b</t>
  </si>
  <si>
    <t>c</t>
  </si>
  <si>
    <t>e</t>
  </si>
  <si>
    <t>g</t>
  </si>
  <si>
    <t>h</t>
  </si>
  <si>
    <t>Flr #</t>
  </si>
  <si>
    <t>Section &gt;&gt;</t>
  </si>
  <si>
    <t># flrs &gt;&gt;</t>
  </si>
  <si>
    <t>INPUT DATA Preparation Sheet</t>
  </si>
  <si>
    <t>and Copy and Paste into next sheet &gt;&gt;</t>
  </si>
  <si>
    <t xml:space="preserve">Degree-Days </t>
  </si>
  <si>
    <t>SHG</t>
  </si>
  <si>
    <t>Cooling/ year = CFM * 1.08 * CDD</t>
  </si>
  <si>
    <t>SHG/yr</t>
  </si>
  <si>
    <t>tons</t>
  </si>
  <si>
    <t>Bldg Pressurization (Inside Press - Outside Press)</t>
  </si>
  <si>
    <t>Sp.Ht of Air =</t>
  </si>
  <si>
    <t>Iniltr SHG/hr = CFM * 1.08 (To-Ti))</t>
  </si>
  <si>
    <t>btuh</t>
  </si>
  <si>
    <r>
      <t xml:space="preserve"> Q = C</t>
    </r>
    <r>
      <rPr>
        <vertAlign val="subscript"/>
        <sz val="12"/>
        <color theme="1"/>
        <rFont val="Calibri"/>
        <family val="2"/>
        <scheme val="minor"/>
      </rPr>
      <t>d</t>
    </r>
    <r>
      <rPr>
        <sz val="12"/>
        <color theme="1"/>
        <rFont val="Calibri"/>
        <family val="2"/>
        <scheme val="minor"/>
      </rPr>
      <t xml:space="preserve"> * A * ( 2 * ∆P/d )</t>
    </r>
    <r>
      <rPr>
        <vertAlign val="superscript"/>
        <sz val="12"/>
        <color theme="1"/>
        <rFont val="Calibri"/>
        <family val="2"/>
        <scheme val="minor"/>
      </rPr>
      <t>0.5</t>
    </r>
  </si>
  <si>
    <t>Stack Effect Press Diff (in.wg)</t>
  </si>
  <si>
    <t>Wind Press (in.wg)</t>
  </si>
  <si>
    <r>
      <t>T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(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>R)</t>
    </r>
  </si>
  <si>
    <r>
      <t>∆P</t>
    </r>
    <r>
      <rPr>
        <vertAlign val="subscript"/>
        <sz val="12"/>
        <color theme="1"/>
        <rFont val="Calibri"/>
        <family val="2"/>
        <scheme val="minor"/>
      </rPr>
      <t>S</t>
    </r>
    <r>
      <rPr>
        <sz val="12"/>
        <color theme="1"/>
        <rFont val="Calibri"/>
        <family val="2"/>
        <scheme val="minor"/>
      </rPr>
      <t xml:space="preserve"> = C</t>
    </r>
    <r>
      <rPr>
        <vertAlign val="subscript"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>*ρ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>* [ (T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- T</t>
    </r>
    <r>
      <rPr>
        <vertAlign val="subscript"/>
        <sz val="12"/>
        <color theme="1"/>
        <rFont val="Calibri"/>
        <family val="2"/>
        <scheme val="minor"/>
      </rPr>
      <t>I</t>
    </r>
    <r>
      <rPr>
        <sz val="12"/>
        <color theme="1"/>
        <rFont val="Calibri"/>
        <family val="2"/>
        <scheme val="minor"/>
      </rPr>
      <t>) / T</t>
    </r>
    <r>
      <rPr>
        <vertAlign val="subscript"/>
        <sz val="12"/>
        <color theme="1"/>
        <rFont val="Calibri"/>
        <family val="2"/>
        <scheme val="minor"/>
      </rPr>
      <t>I</t>
    </r>
    <r>
      <rPr>
        <sz val="12"/>
        <color theme="1"/>
        <rFont val="Calibri"/>
        <family val="2"/>
        <scheme val="minor"/>
      </rPr>
      <t xml:space="preserve"> ] * g * (H</t>
    </r>
    <r>
      <rPr>
        <vertAlign val="subscript"/>
        <sz val="12"/>
        <color theme="1"/>
        <rFont val="Calibri"/>
        <family val="2"/>
        <scheme val="minor"/>
      </rPr>
      <t>NPL</t>
    </r>
    <r>
      <rPr>
        <sz val="12"/>
        <color theme="1"/>
        <rFont val="Calibri"/>
        <family val="2"/>
        <scheme val="minor"/>
      </rPr>
      <t xml:space="preserve"> - H)</t>
    </r>
  </si>
  <si>
    <r>
      <t>C</t>
    </r>
    <r>
      <rPr>
        <b/>
        <vertAlign val="subscript"/>
        <sz val="14"/>
        <color theme="1"/>
        <rFont val="Calibri"/>
        <family val="2"/>
        <scheme val="minor"/>
      </rPr>
      <t>1</t>
    </r>
    <r>
      <rPr>
        <b/>
        <sz val="14"/>
        <color theme="1"/>
        <rFont val="Calibri"/>
        <family val="2"/>
        <scheme val="minor"/>
      </rPr>
      <t xml:space="preserve"> =</t>
    </r>
  </si>
  <si>
    <r>
      <t>C</t>
    </r>
    <r>
      <rPr>
        <b/>
        <vertAlign val="sub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 xml:space="preserve"> =</t>
    </r>
  </si>
  <si>
    <r>
      <t>∆P</t>
    </r>
    <r>
      <rPr>
        <vertAlign val="subscript"/>
        <sz val="12"/>
        <color theme="1"/>
        <rFont val="Calibri"/>
        <family val="2"/>
        <scheme val="minor"/>
      </rPr>
      <t>W</t>
    </r>
    <r>
      <rPr>
        <sz val="12"/>
        <color theme="1"/>
        <rFont val="Calibri"/>
        <family val="2"/>
        <scheme val="minor"/>
      </rPr>
      <t xml:space="preserve"> = C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* s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* C</t>
    </r>
    <r>
      <rPr>
        <vertAlign val="subscript"/>
        <sz val="12"/>
        <color theme="1"/>
        <rFont val="Calibri"/>
        <family val="2"/>
        <scheme val="minor"/>
      </rPr>
      <t>P</t>
    </r>
    <r>
      <rPr>
        <sz val="12"/>
        <color theme="1"/>
        <rFont val="Calibri"/>
        <family val="2"/>
        <scheme val="minor"/>
      </rPr>
      <t xml:space="preserve"> * ρ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* (U</t>
    </r>
    <r>
      <rPr>
        <vertAlign val="subscript"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scheme val="minor"/>
      </rPr>
      <t>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/ 2</t>
    </r>
  </si>
  <si>
    <r>
      <t>C</t>
    </r>
    <r>
      <rPr>
        <b/>
        <vertAlign val="subscript"/>
        <sz val="14"/>
        <color theme="1"/>
        <rFont val="Calibri"/>
        <family val="2"/>
        <scheme val="minor"/>
      </rPr>
      <t>P</t>
    </r>
    <r>
      <rPr>
        <b/>
        <sz val="14"/>
        <color theme="1"/>
        <rFont val="Calibri"/>
        <family val="2"/>
        <scheme val="minor"/>
      </rPr>
      <t xml:space="preserve"> =</t>
    </r>
  </si>
  <si>
    <r>
      <t>∆P</t>
    </r>
    <r>
      <rPr>
        <vertAlign val="subscript"/>
        <sz val="12"/>
        <color theme="1"/>
        <rFont val="Calibri"/>
        <family val="2"/>
        <scheme val="minor"/>
      </rPr>
      <t>S</t>
    </r>
    <r>
      <rPr>
        <sz val="12"/>
        <color theme="1"/>
        <rFont val="Calibri"/>
        <family val="2"/>
        <scheme val="minor"/>
      </rPr>
      <t xml:space="preserve"> =</t>
    </r>
  </si>
  <si>
    <r>
      <t>∆P</t>
    </r>
    <r>
      <rPr>
        <vertAlign val="subscript"/>
        <sz val="12"/>
        <color theme="1"/>
        <rFont val="Calibri"/>
        <family val="2"/>
        <scheme val="minor"/>
      </rPr>
      <t>W</t>
    </r>
    <r>
      <rPr>
        <sz val="12"/>
        <color theme="1"/>
        <rFont val="Calibri"/>
        <family val="2"/>
        <scheme val="minor"/>
      </rPr>
      <t xml:space="preserve"> =</t>
    </r>
  </si>
  <si>
    <r>
      <t xml:space="preserve">Airflow Rate </t>
    </r>
    <r>
      <rPr>
        <b/>
        <sz val="12"/>
        <color theme="1"/>
        <rFont val="Calibri"/>
        <family val="2"/>
        <scheme val="minor"/>
      </rPr>
      <t>(ft3/sec)</t>
    </r>
  </si>
  <si>
    <r>
      <t>P</t>
    </r>
    <r>
      <rPr>
        <b/>
        <vertAlign val="subscript"/>
        <sz val="12"/>
        <color theme="1"/>
        <rFont val="Calibri"/>
        <family val="2"/>
        <scheme val="minor"/>
      </rPr>
      <t xml:space="preserve">I </t>
    </r>
    <r>
      <rPr>
        <b/>
        <sz val="12"/>
        <color theme="1"/>
        <rFont val="Calibri"/>
        <family val="2"/>
        <scheme val="minor"/>
      </rPr>
      <t>- P</t>
    </r>
    <r>
      <rPr>
        <b/>
        <vertAlign val="subscript"/>
        <sz val="12"/>
        <color theme="1"/>
        <rFont val="Calibri"/>
        <family val="2"/>
        <scheme val="minor"/>
      </rPr>
      <t>O</t>
    </r>
  </si>
  <si>
    <r>
      <t>T</t>
    </r>
    <r>
      <rPr>
        <vertAlign val="subscript"/>
        <sz val="12"/>
        <color theme="1"/>
        <rFont val="Calibri"/>
        <family val="2"/>
        <scheme val="minor"/>
      </rPr>
      <t>i</t>
    </r>
    <r>
      <rPr>
        <sz val="12"/>
        <color theme="1"/>
        <rFont val="Calibri"/>
        <family val="2"/>
        <scheme val="minor"/>
      </rPr>
      <t xml:space="preserve"> (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>R)</t>
    </r>
  </si>
  <si>
    <t>A = Leakg-A</t>
  </si>
  <si>
    <r>
      <t>ρ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= OA dens</t>
    </r>
  </si>
  <si>
    <r>
      <t>U</t>
    </r>
    <r>
      <rPr>
        <vertAlign val="subscript"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scheme val="minor"/>
      </rPr>
      <t xml:space="preserve"> = mph</t>
    </r>
  </si>
  <si>
    <t>Section Infltr (tons/yr)</t>
  </si>
  <si>
    <t>Coolg-DD</t>
  </si>
  <si>
    <r>
      <t>C</t>
    </r>
    <r>
      <rPr>
        <vertAlign val="subscript"/>
        <sz val="14"/>
        <color theme="1"/>
        <rFont val="Calibri"/>
        <family val="2"/>
        <scheme val="minor"/>
      </rPr>
      <t>F</t>
    </r>
    <r>
      <rPr>
        <sz val="14"/>
        <color theme="1"/>
        <rFont val="Calibri"/>
        <family val="2"/>
        <scheme val="minor"/>
      </rPr>
      <t xml:space="preserve"> =</t>
    </r>
  </si>
  <si>
    <t>SHL</t>
  </si>
  <si>
    <t>SHL/yr</t>
  </si>
  <si>
    <t>K-btu</t>
  </si>
  <si>
    <t>Section Infltr (K-btu/yr)</t>
  </si>
  <si>
    <t>Infltr</t>
  </si>
  <si>
    <t>Cooling</t>
  </si>
  <si>
    <t>K-btuh/yr</t>
  </si>
  <si>
    <t>Heating</t>
  </si>
  <si>
    <t>Energy/Yr</t>
  </si>
  <si>
    <t>K-btu/yr</t>
  </si>
  <si>
    <r>
      <t>V</t>
    </r>
    <r>
      <rPr>
        <vertAlign val="subscript"/>
        <sz val="11"/>
        <color theme="1"/>
        <rFont val="Calibri"/>
        <family val="2"/>
      </rPr>
      <t>o</t>
    </r>
    <r>
      <rPr>
        <sz val="11"/>
        <color theme="1"/>
        <rFont val="Calibri"/>
        <family val="2"/>
      </rPr>
      <t xml:space="preserve"> ft3/lb</t>
    </r>
  </si>
  <si>
    <r>
      <t>H</t>
    </r>
    <r>
      <rPr>
        <vertAlign val="subscript"/>
        <sz val="11"/>
        <color theme="1"/>
        <rFont val="Calibri"/>
        <family val="2"/>
      </rPr>
      <t>o</t>
    </r>
    <r>
      <rPr>
        <sz val="11"/>
        <color theme="1"/>
        <rFont val="Calibri"/>
        <family val="2"/>
      </rPr>
      <t xml:space="preserve"> bu/lb</t>
    </r>
  </si>
  <si>
    <t>Tons</t>
  </si>
  <si>
    <t>Annual</t>
  </si>
  <si>
    <t>KWH</t>
  </si>
  <si>
    <t>Very Tall Mixed-Use Building (Description)</t>
  </si>
  <si>
    <t>cfm/ft2</t>
  </si>
  <si>
    <t>Area</t>
  </si>
  <si>
    <t>Pi-Po</t>
  </si>
  <si>
    <t>A = Q / ( Cd * ( 2 * ∆P/d )0.5 )</t>
  </si>
  <si>
    <r>
      <t xml:space="preserve"> Q = Cd * A * ( 2 * ∆P/d )</t>
    </r>
    <r>
      <rPr>
        <vertAlign val="superscript"/>
        <sz val="12"/>
        <color theme="1"/>
        <rFont val="Calibri"/>
        <family val="2"/>
        <scheme val="minor"/>
      </rPr>
      <t>0.5</t>
    </r>
  </si>
  <si>
    <t>dens =</t>
  </si>
  <si>
    <t>Infl-A</t>
  </si>
  <si>
    <t>ft2</t>
  </si>
  <si>
    <t xml:space="preserve">Inside to Outside Pressure Difference for Building Pressurization = </t>
  </si>
  <si>
    <t>Envlp</t>
  </si>
  <si>
    <t>Pi-Po=</t>
  </si>
  <si>
    <t>Top of Cooling Towers = 600 feet</t>
  </si>
  <si>
    <t>RF</t>
  </si>
  <si>
    <t>RF-L52</t>
  </si>
  <si>
    <t>Cooling Towers</t>
  </si>
  <si>
    <t>Roof  :  160 x 120  :  (80,50,570)</t>
  </si>
  <si>
    <t>MER-L45</t>
  </si>
  <si>
    <t>H&amp;V</t>
  </si>
  <si>
    <t>Mechanical Equipment Room : 160 x 120 x 20 :  (80,50,550)</t>
  </si>
  <si>
    <t>RST-L44</t>
  </si>
  <si>
    <t>VAVS</t>
  </si>
  <si>
    <t>Restaurant  :  160 x 100 x 15  :  (80,50,535)</t>
  </si>
  <si>
    <t>Pressure</t>
  </si>
  <si>
    <t>Feet x 0.433 = psi</t>
  </si>
  <si>
    <t>with partially inset balconies</t>
  </si>
  <si>
    <t>5 floors</t>
  </si>
  <si>
    <t xml:space="preserve">Pipe Height from </t>
  </si>
  <si>
    <t>PTAC</t>
  </si>
  <si>
    <t>Balcony</t>
  </si>
  <si>
    <t>B3 (-40') to the Top</t>
  </si>
  <si>
    <t>Apartments-L34-L48</t>
  </si>
  <si>
    <t>160 x 120 x 10 : (80,50,485)</t>
  </si>
  <si>
    <t>of Cooling Towers =</t>
  </si>
  <si>
    <t>640 feet (277 psi)</t>
  </si>
  <si>
    <t>4-Pipe FCU</t>
  </si>
  <si>
    <t>HTL-Rms-L29-L38</t>
  </si>
  <si>
    <t>10 floors</t>
  </si>
  <si>
    <t>160 x 120 x 10 : (80,50,385)</t>
  </si>
  <si>
    <t>Reception - Lobby</t>
  </si>
  <si>
    <t>Gymnasium</t>
  </si>
  <si>
    <t>Health Spa</t>
  </si>
  <si>
    <t>Swimming Pool</t>
  </si>
  <si>
    <t>Laundry Dry Cleaners</t>
  </si>
  <si>
    <t>Dance Club / Disc</t>
  </si>
  <si>
    <t>Coctail Bar</t>
  </si>
  <si>
    <t>Wedding Hall</t>
  </si>
  <si>
    <t>Meeting Rooms</t>
  </si>
  <si>
    <t>Conference Centers</t>
  </si>
  <si>
    <t>HTL-Fns-L25-L28</t>
  </si>
  <si>
    <t>4 floors</t>
  </si>
  <si>
    <t>220 x 120 x 15  :  (50,40,325)</t>
  </si>
  <si>
    <t>MER-L24</t>
  </si>
  <si>
    <t>Mechanical Equipment Room : 220 x 120 x 20  :  (50,40,305)</t>
  </si>
  <si>
    <t>ADJACENT  BUILDING</t>
  </si>
  <si>
    <t>Toilets, M-E Closets, Shafts</t>
  </si>
  <si>
    <t>Elevators, Stairs, Lobby, Storage</t>
  </si>
  <si>
    <t xml:space="preserve"> ATR-SE</t>
  </si>
  <si>
    <t>ATRIUMS</t>
  </si>
  <si>
    <t>CORE B3-L52</t>
  </si>
  <si>
    <t xml:space="preserve"> Level 19</t>
  </si>
  <si>
    <t>SOUTH</t>
  </si>
  <si>
    <t>30' x 30' x</t>
  </si>
  <si>
    <t>80 x 60  (120,70,Z)</t>
  </si>
  <si>
    <t>ELEVATION</t>
  </si>
  <si>
    <t>5 levels high</t>
  </si>
  <si>
    <t xml:space="preserve">located on the </t>
  </si>
  <si>
    <t>OFFICE</t>
  </si>
  <si>
    <t>SE and NW</t>
  </si>
  <si>
    <t>corners of</t>
  </si>
  <si>
    <t xml:space="preserve"> Level 14</t>
  </si>
  <si>
    <t>Office Floors</t>
  </si>
  <si>
    <t>(See Plan View)</t>
  </si>
  <si>
    <t xml:space="preserve"> Level 9</t>
  </si>
  <si>
    <t>VAVS-PIU</t>
  </si>
  <si>
    <t>OFC-L9-L23</t>
  </si>
  <si>
    <t>20 floors</t>
  </si>
  <si>
    <t>Office  :  220 x 120 x 13  :  (50,40,110)</t>
  </si>
  <si>
    <t>MER-L8</t>
  </si>
  <si>
    <t>Mechanical Equipment Room : 280 x 160 x 20  :  (20,20,90)</t>
  </si>
  <si>
    <t>SHAFTS</t>
  </si>
  <si>
    <t>PKG-L4-L7</t>
  </si>
  <si>
    <t>Parking  :  280 x 160 x 10  :  (20,20,50)</t>
  </si>
  <si>
    <t>Auditorium</t>
  </si>
  <si>
    <t>RTL:  L2-L3</t>
  </si>
  <si>
    <t>Retail  : 280 x 160 x 20  :  (20,20,20)</t>
  </si>
  <si>
    <t>Theatre</t>
  </si>
  <si>
    <t>Service</t>
  </si>
  <si>
    <t>LBY:  L1</t>
  </si>
  <si>
    <t>Lobby  :  280 x 160 x 20  :  (20,20,0)</t>
  </si>
  <si>
    <t>Alley</t>
  </si>
  <si>
    <t>B1</t>
  </si>
  <si>
    <t>-10</t>
  </si>
  <si>
    <t>Emergency</t>
  </si>
  <si>
    <t>B2</t>
  </si>
  <si>
    <t>-20</t>
  </si>
  <si>
    <t>PKG-B1-B2</t>
  </si>
  <si>
    <t>Underground Parking  :  320 x 200 x 10  :  (0,0,-20)</t>
  </si>
  <si>
    <t>Ventil only</t>
  </si>
  <si>
    <t>Generators</t>
  </si>
  <si>
    <t>B3</t>
  </si>
  <si>
    <t>-40</t>
  </si>
  <si>
    <t>MER-B3</t>
  </si>
  <si>
    <t>Mechanical Equipment Room : 320 x 200 x 20  :  (0,0,-40)</t>
  </si>
  <si>
    <t>X</t>
  </si>
  <si>
    <t>OPERABLE</t>
  </si>
  <si>
    <t>WINDOWS</t>
  </si>
  <si>
    <t>Housekeeping - Storage</t>
  </si>
  <si>
    <t>5 Flrs High</t>
  </si>
  <si>
    <t>FIXED</t>
  </si>
  <si>
    <t>OPEN</t>
  </si>
  <si>
    <t>NO WALLS</t>
  </si>
  <si>
    <t>Infltr &amp; Exfltr due to Building Stack Effect, Wind Press</t>
  </si>
  <si>
    <t>Basis of Calculations</t>
  </si>
  <si>
    <t>Definitions</t>
  </si>
  <si>
    <t>ASHRAE def. of Tall Buildings = above 300 ft</t>
  </si>
  <si>
    <t>CTBUH def. of Super-Tall Bldgs = above 300 meters = above 985 feet</t>
  </si>
  <si>
    <t>NFPA def. of High Rise Bldg &gt; than 7 stories (&gt; 75 ft approx) fight fire from inside</t>
  </si>
  <si>
    <t>Def. of Low Rise Bldg varies.  Ex. Requires no elevators (up to 3 flrs, less than 35 ft)</t>
  </si>
  <si>
    <t>Def. of Mid Rise Bldg = between Low Rise and High Rise (4 to 7 flrs, 35 ft to 75 ft)</t>
  </si>
  <si>
    <t xml:space="preserve">Flr to Flr Heights (ft):   </t>
  </si>
  <si>
    <t>Residential =</t>
  </si>
  <si>
    <t>Office =</t>
  </si>
  <si>
    <t>Retail =</t>
  </si>
  <si>
    <t>Lobby =</t>
  </si>
  <si>
    <t>IP Units</t>
  </si>
  <si>
    <r>
      <t>Grnd Temp = T</t>
    </r>
    <r>
      <rPr>
        <b/>
        <vertAlign val="subscript"/>
        <sz val="14"/>
        <rFont val="Calibri"/>
        <family val="2"/>
        <scheme val="minor"/>
      </rPr>
      <t>G</t>
    </r>
    <r>
      <rPr>
        <b/>
        <sz val="14"/>
        <rFont val="Calibri"/>
        <family val="2"/>
        <scheme val="minor"/>
      </rPr>
      <t xml:space="preserve"> F</t>
    </r>
  </si>
  <si>
    <t>SI Units</t>
  </si>
  <si>
    <r>
      <t>Grnd Temp = T</t>
    </r>
    <r>
      <rPr>
        <b/>
        <vertAlign val="subscript"/>
        <sz val="14"/>
        <rFont val="Calibri"/>
        <family val="2"/>
        <scheme val="minor"/>
      </rPr>
      <t>G</t>
    </r>
    <r>
      <rPr>
        <b/>
        <sz val="14"/>
        <rFont val="Calibri"/>
        <family val="2"/>
        <scheme val="minor"/>
      </rPr>
      <t xml:space="preserve"> C</t>
    </r>
  </si>
  <si>
    <t>Std. Atm. Press.</t>
  </si>
  <si>
    <r>
      <t>T</t>
    </r>
    <r>
      <rPr>
        <sz val="14"/>
        <rFont val="Calibri"/>
        <family val="2"/>
      </rPr>
      <t xml:space="preserve"> = T</t>
    </r>
    <r>
      <rPr>
        <vertAlign val="subscript"/>
        <sz val="14"/>
        <rFont val="Calibri"/>
        <family val="2"/>
      </rPr>
      <t>G</t>
    </r>
    <r>
      <rPr>
        <sz val="14"/>
        <rFont val="Calibri"/>
        <family val="2"/>
      </rPr>
      <t xml:space="preserve"> - 0.00356 * H</t>
    </r>
  </si>
  <si>
    <r>
      <t>T</t>
    </r>
    <r>
      <rPr>
        <sz val="14"/>
        <rFont val="Calibri"/>
        <family val="2"/>
      </rPr>
      <t xml:space="preserve"> = T</t>
    </r>
    <r>
      <rPr>
        <vertAlign val="subscript"/>
        <sz val="14"/>
        <rFont val="Calibri"/>
        <family val="2"/>
      </rPr>
      <t>G</t>
    </r>
    <r>
      <rPr>
        <sz val="14"/>
        <rFont val="Calibri"/>
        <family val="2"/>
      </rPr>
      <t xml:space="preserve"> - 0.00649 * H</t>
    </r>
  </si>
  <si>
    <t>kPa</t>
  </si>
  <si>
    <r>
      <rPr>
        <b/>
        <sz val="14"/>
        <color theme="1"/>
        <rFont val="Calibri"/>
        <family val="2"/>
        <scheme val="minor"/>
      </rPr>
      <t>D</t>
    </r>
    <r>
      <rPr>
        <sz val="14"/>
        <color theme="1"/>
        <rFont val="Calibri"/>
        <family val="2"/>
        <scheme val="minor"/>
      </rPr>
      <t xml:space="preserve"> = 2.7 * PSIa / (T + 459.7) </t>
    </r>
  </si>
  <si>
    <r>
      <t>D</t>
    </r>
    <r>
      <rPr>
        <sz val="14"/>
        <rFont val="Calibri"/>
        <family val="2"/>
      </rPr>
      <t xml:space="preserve"> = P / (</t>
    </r>
    <r>
      <rPr>
        <b/>
        <sz val="14"/>
        <color indexed="12"/>
        <rFont val="Calibri"/>
        <family val="2"/>
      </rPr>
      <t xml:space="preserve"> </t>
    </r>
    <r>
      <rPr>
        <sz val="14"/>
        <color theme="1"/>
        <rFont val="Calibri"/>
        <family val="2"/>
      </rPr>
      <t>0.2869</t>
    </r>
    <r>
      <rPr>
        <sz val="14"/>
        <rFont val="Calibri"/>
        <family val="2"/>
      </rPr>
      <t xml:space="preserve"> * ( T + 273.1 ) )</t>
    </r>
  </si>
  <si>
    <t>Building pressure variations are caused by climatic wind pressure and stack effect (air buoyancy) which results</t>
  </si>
  <si>
    <r>
      <rPr>
        <b/>
        <sz val="14"/>
        <color theme="1"/>
        <rFont val="Calibri"/>
        <family val="2"/>
        <scheme val="minor"/>
      </rPr>
      <t>P</t>
    </r>
    <r>
      <rPr>
        <sz val="14"/>
        <color theme="1"/>
        <rFont val="Calibri"/>
        <family val="2"/>
        <scheme val="minor"/>
      </rPr>
      <t xml:space="preserve"> (in.Hg) = .296 * P (K-Pa)</t>
    </r>
  </si>
  <si>
    <r>
      <rPr>
        <b/>
        <sz val="14"/>
        <color theme="1"/>
        <rFont val="Calibri"/>
        <family val="2"/>
        <scheme val="minor"/>
      </rPr>
      <t>P</t>
    </r>
    <r>
      <rPr>
        <i/>
        <sz val="14"/>
        <color theme="1"/>
        <rFont val="Calibri"/>
        <family val="2"/>
        <scheme val="minor"/>
      </rPr>
      <t xml:space="preserve"> = 101325 (1 - 2.25577 10</t>
    </r>
    <r>
      <rPr>
        <i/>
        <vertAlign val="superscript"/>
        <sz val="14"/>
        <color theme="1"/>
        <rFont val="Calibri"/>
        <family val="2"/>
        <scheme val="minor"/>
      </rPr>
      <t>-5</t>
    </r>
    <r>
      <rPr>
        <i/>
        <sz val="14"/>
        <color theme="1"/>
        <rFont val="Calibri"/>
        <family val="2"/>
        <scheme val="minor"/>
      </rPr>
      <t xml:space="preserve"> H)</t>
    </r>
    <r>
      <rPr>
        <i/>
        <vertAlign val="superscript"/>
        <sz val="14"/>
        <color theme="1"/>
        <rFont val="Calibri"/>
        <family val="2"/>
        <scheme val="minor"/>
      </rPr>
      <t>5.25588</t>
    </r>
  </si>
  <si>
    <t>in an uncontrolled air flow into and out  of a high rise building. The quantity of uncontrolled ventilation is</t>
  </si>
  <si>
    <t>P = air press. (Pa)</t>
  </si>
  <si>
    <t>H = altitude above sea level (m)</t>
  </si>
  <si>
    <r>
      <t>in.H</t>
    </r>
    <r>
      <rPr>
        <vertAlign val="sub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O</t>
    </r>
  </si>
  <si>
    <t xml:space="preserve"> influenced by indoor-outdoor temperature difference, wind velocity, wind direction, height of the building, and </t>
  </si>
  <si>
    <t>Stack Efect Press Difference</t>
  </si>
  <si>
    <t>(ASHRAE Handbook of Fundamentals)</t>
  </si>
  <si>
    <t xml:space="preserve">building construction. In cold climates air infiltrates into the lower half of the high rise building through doors, </t>
  </si>
  <si>
    <r>
      <t>∆P</t>
    </r>
    <r>
      <rPr>
        <b/>
        <vertAlign val="subscript"/>
        <sz val="14"/>
        <color theme="1"/>
        <rFont val="Calibri"/>
        <family val="2"/>
      </rPr>
      <t>S</t>
    </r>
    <r>
      <rPr>
        <b/>
        <sz val="14"/>
        <color theme="1"/>
        <rFont val="Calibri"/>
        <family val="2"/>
      </rPr>
      <t xml:space="preserve"> = C</t>
    </r>
    <r>
      <rPr>
        <b/>
        <vertAlign val="subscript"/>
        <sz val="14"/>
        <color theme="1"/>
        <rFont val="Calibri"/>
        <family val="2"/>
      </rPr>
      <t>1</t>
    </r>
    <r>
      <rPr>
        <b/>
        <sz val="14"/>
        <color theme="1"/>
        <rFont val="Calibri"/>
        <family val="2"/>
      </rPr>
      <t xml:space="preserve"> * ρ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 xml:space="preserve"> * [ (T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 xml:space="preserve"> - T</t>
    </r>
    <r>
      <rPr>
        <b/>
        <vertAlign val="subscript"/>
        <sz val="14"/>
        <color theme="1"/>
        <rFont val="Calibri"/>
        <family val="2"/>
      </rPr>
      <t>I</t>
    </r>
    <r>
      <rPr>
        <b/>
        <sz val="14"/>
        <color theme="1"/>
        <rFont val="Calibri"/>
        <family val="2"/>
      </rPr>
      <t>) / T</t>
    </r>
    <r>
      <rPr>
        <b/>
        <vertAlign val="subscript"/>
        <sz val="14"/>
        <color theme="1"/>
        <rFont val="Calibri"/>
        <family val="2"/>
      </rPr>
      <t>I</t>
    </r>
    <r>
      <rPr>
        <b/>
        <sz val="14"/>
        <color theme="1"/>
        <rFont val="Calibri"/>
        <family val="2"/>
      </rPr>
      <t xml:space="preserve"> ] * g * (H</t>
    </r>
    <r>
      <rPr>
        <b/>
        <vertAlign val="subscript"/>
        <sz val="14"/>
        <color theme="1"/>
        <rFont val="Calibri"/>
        <family val="2"/>
      </rPr>
      <t>NPL</t>
    </r>
    <r>
      <rPr>
        <b/>
        <sz val="14"/>
        <color theme="1"/>
        <rFont val="Calibri"/>
        <family val="2"/>
      </rPr>
      <t xml:space="preserve"> - H)</t>
    </r>
  </si>
  <si>
    <t>(Wikipedia)</t>
  </si>
  <si>
    <t xml:space="preserve">curtain walls, and other paths and rises to upper floors through shafts and other means due to natural stack </t>
  </si>
  <si>
    <r>
      <t>∆P</t>
    </r>
    <r>
      <rPr>
        <vertAlign val="subscript"/>
        <sz val="12"/>
        <color theme="1"/>
        <rFont val="Calibri"/>
        <family val="2"/>
      </rPr>
      <t>S</t>
    </r>
    <r>
      <rPr>
        <sz val="12"/>
        <color theme="1"/>
        <rFont val="Calibri"/>
        <family val="2"/>
      </rPr>
      <t xml:space="preserve"> =</t>
    </r>
  </si>
  <si>
    <t>Difference (Indoor - Outdoor) Stack Press (in.wg)</t>
  </si>
  <si>
    <r>
      <t xml:space="preserve"> ∆P</t>
    </r>
    <r>
      <rPr>
        <b/>
        <vertAlign val="subscript"/>
        <sz val="14"/>
        <color theme="1"/>
        <rFont val="Calibri"/>
        <family val="2"/>
      </rPr>
      <t>S</t>
    </r>
    <r>
      <rPr>
        <b/>
        <sz val="14"/>
        <color theme="1"/>
        <rFont val="Calibri"/>
        <family val="2"/>
      </rPr>
      <t xml:space="preserve"> = C * Atm.Pr. * H * (1/T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>-1/T</t>
    </r>
    <r>
      <rPr>
        <b/>
        <vertAlign val="subscript"/>
        <sz val="14"/>
        <color theme="1"/>
        <rFont val="Calibri"/>
        <family val="2"/>
      </rPr>
      <t>I</t>
    </r>
    <r>
      <rPr>
        <b/>
        <sz val="14"/>
        <color theme="1"/>
        <rFont val="Calibri"/>
        <family val="2"/>
      </rPr>
      <t>)</t>
    </r>
  </si>
  <si>
    <t xml:space="preserve">effect and ex-filtrates from the upper half of the building. </t>
  </si>
  <si>
    <r>
      <t>C</t>
    </r>
    <r>
      <rPr>
        <vertAlign val="subscript"/>
        <sz val="12"/>
        <color theme="1"/>
        <rFont val="Calibri"/>
        <family val="2"/>
      </rPr>
      <t>1</t>
    </r>
    <r>
      <rPr>
        <sz val="12"/>
        <color theme="1"/>
        <rFont val="Calibri"/>
        <family val="2"/>
      </rPr>
      <t xml:space="preserve"> =</t>
    </r>
  </si>
  <si>
    <r>
      <t>Conversion Factor = 0.00598 (in.wg . ft.sec</t>
    </r>
    <r>
      <rPr>
        <vertAlign val="super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/lb</t>
    </r>
    <r>
      <rPr>
        <vertAlign val="subscript"/>
        <sz val="12"/>
        <color theme="1"/>
        <rFont val="Calibri"/>
        <family val="2"/>
      </rPr>
      <t>m)</t>
    </r>
  </si>
  <si>
    <t>Var.</t>
  </si>
  <si>
    <t>IP</t>
  </si>
  <si>
    <t>SI</t>
  </si>
  <si>
    <r>
      <t>ρ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 xml:space="preserve"> =</t>
    </r>
  </si>
  <si>
    <r>
      <t>Outdoor Air Density at Outdoor Air Temp, lb</t>
    </r>
    <r>
      <rPr>
        <vertAlign val="subscript"/>
        <sz val="12"/>
        <color theme="1"/>
        <rFont val="Calibri"/>
        <family val="2"/>
      </rPr>
      <t>m</t>
    </r>
    <r>
      <rPr>
        <sz val="12"/>
        <color theme="1"/>
        <rFont val="Calibri"/>
        <family val="2"/>
      </rPr>
      <t>/ft</t>
    </r>
    <r>
      <rPr>
        <vertAlign val="superscript"/>
        <sz val="12"/>
        <color theme="1"/>
        <rFont val="Calibri"/>
        <family val="2"/>
      </rPr>
      <t>3</t>
    </r>
  </si>
  <si>
    <t xml:space="preserve">C </t>
  </si>
  <si>
    <t>Wind creates a distribution of static pressure on the building envelope, which is dependent on wind direction</t>
  </si>
  <si>
    <t>g =</t>
  </si>
  <si>
    <t xml:space="preserve">gravitational constant </t>
  </si>
  <si>
    <t>ft/sec2</t>
  </si>
  <si>
    <r>
      <t xml:space="preserve"> m/sec</t>
    </r>
    <r>
      <rPr>
        <vertAlign val="superscript"/>
        <sz val="12"/>
        <rFont val="Calibri"/>
        <family val="2"/>
      </rPr>
      <t>2</t>
    </r>
  </si>
  <si>
    <t>∆PS</t>
  </si>
  <si>
    <t>Pa</t>
  </si>
  <si>
    <t>and location on building envelope. The basic wind pressure  theory is expressed as (Hong Kong Univ, 2001):</t>
  </si>
  <si>
    <r>
      <t>T</t>
    </r>
    <r>
      <rPr>
        <vertAlign val="subscript"/>
        <sz val="12"/>
        <color theme="1"/>
        <rFont val="Calibri"/>
        <family val="2"/>
      </rPr>
      <t>I</t>
    </r>
    <r>
      <rPr>
        <sz val="12"/>
        <color theme="1"/>
        <rFont val="Calibri"/>
        <family val="2"/>
      </rPr>
      <t xml:space="preserve"> =</t>
    </r>
  </si>
  <si>
    <t>Indr</t>
  </si>
  <si>
    <r>
      <t>(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R=460+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F)</t>
    </r>
  </si>
  <si>
    <r>
      <t>(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K=273+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C)</t>
    </r>
  </si>
  <si>
    <t>At.Pr.</t>
  </si>
  <si>
    <r>
      <t>ρ</t>
    </r>
    <r>
      <rPr>
        <b/>
        <i/>
        <sz val="16"/>
        <color theme="1"/>
        <rFont val="Calibri"/>
        <family val="2"/>
      </rPr>
      <t xml:space="preserve"> =</t>
    </r>
  </si>
  <si>
    <t xml:space="preserve">air density, lbm/ft3 (about 0.075) </t>
  </si>
  <si>
    <r>
      <t>T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 xml:space="preserve"> =</t>
    </r>
  </si>
  <si>
    <t>Outdr</t>
  </si>
  <si>
    <t>H (ht)</t>
  </si>
  <si>
    <t>Ft</t>
  </si>
  <si>
    <t>m</t>
  </si>
  <si>
    <t>V =</t>
  </si>
  <si>
    <t xml:space="preserve">wind speed, mph </t>
  </si>
  <si>
    <r>
      <t>H</t>
    </r>
    <r>
      <rPr>
        <vertAlign val="subscript"/>
        <sz val="12"/>
        <color theme="1"/>
        <rFont val="Calibri"/>
        <family val="2"/>
      </rPr>
      <t>NPL</t>
    </r>
    <r>
      <rPr>
        <sz val="12"/>
        <color theme="1"/>
        <rFont val="Calibri"/>
        <family val="2"/>
      </rPr>
      <t xml:space="preserve"> =</t>
    </r>
  </si>
  <si>
    <t>Neutral Pr. Plane above Ref Plane, ft (0.5*H appr)</t>
  </si>
  <si>
    <r>
      <t xml:space="preserve"> C</t>
    </r>
    <r>
      <rPr>
        <vertAlign val="subscript"/>
        <sz val="14"/>
        <color theme="1"/>
        <rFont val="Calibri"/>
        <family val="2"/>
      </rPr>
      <t>2</t>
    </r>
    <r>
      <rPr>
        <sz val="14"/>
        <color theme="1"/>
        <rFont val="Calibri"/>
        <family val="2"/>
      </rPr>
      <t xml:space="preserve"> * ρ</t>
    </r>
    <r>
      <rPr>
        <vertAlign val="subscript"/>
        <sz val="14"/>
        <color theme="1"/>
        <rFont val="Calibri"/>
        <family val="2"/>
      </rPr>
      <t>O</t>
    </r>
    <r>
      <rPr>
        <sz val="14"/>
        <color theme="1"/>
        <rFont val="Calibri"/>
        <family val="2"/>
      </rPr>
      <t>* g =</t>
    </r>
  </si>
  <si>
    <r>
      <t>T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 xml:space="preserve">  , T</t>
    </r>
    <r>
      <rPr>
        <vertAlign val="subscript"/>
        <sz val="12"/>
        <color theme="1"/>
        <rFont val="Calibri"/>
        <family val="2"/>
      </rPr>
      <t>I</t>
    </r>
  </si>
  <si>
    <r>
      <rPr>
        <b/>
        <vertAlign val="superscript"/>
        <sz val="14"/>
        <color rgb="FF002060"/>
        <rFont val="Calibri"/>
        <family val="2"/>
      </rPr>
      <t>O</t>
    </r>
    <r>
      <rPr>
        <b/>
        <sz val="14"/>
        <color rgb="FF002060"/>
        <rFont val="Calibri"/>
        <family val="2"/>
      </rPr>
      <t>R</t>
    </r>
  </si>
  <si>
    <r>
      <rPr>
        <b/>
        <vertAlign val="superscript"/>
        <sz val="14"/>
        <color rgb="FF002060"/>
        <rFont val="Calibri"/>
        <family val="2"/>
      </rPr>
      <t>O</t>
    </r>
    <r>
      <rPr>
        <b/>
        <sz val="14"/>
        <color rgb="FF002060"/>
        <rFont val="Calibri"/>
        <family val="2"/>
      </rPr>
      <t>K</t>
    </r>
  </si>
  <si>
    <t>I &amp; o =</t>
  </si>
  <si>
    <t>inside &amp; outside</t>
  </si>
  <si>
    <t>H =</t>
  </si>
  <si>
    <t>Building Height above Reference Plane, (ft)</t>
  </si>
  <si>
    <r>
      <t>∆P</t>
    </r>
    <r>
      <rPr>
        <b/>
        <i/>
        <vertAlign val="subscript"/>
        <sz val="16"/>
        <color theme="1"/>
        <rFont val="Calibri"/>
        <family val="2"/>
      </rPr>
      <t>W</t>
    </r>
    <r>
      <rPr>
        <b/>
        <i/>
        <sz val="16"/>
        <color theme="1"/>
        <rFont val="Calibri"/>
        <family val="2"/>
      </rPr>
      <t xml:space="preserve"> =</t>
    </r>
  </si>
  <si>
    <t>wind pressure difference, in of water</t>
  </si>
  <si>
    <t>C =</t>
  </si>
  <si>
    <t xml:space="preserve">unit conversion, 0.0129 </t>
  </si>
  <si>
    <t>Wind Pressure</t>
  </si>
  <si>
    <t>Pushes Outdoor Air on Windward side (+ve) - Pulls Indoor Air on Leeward side (-ve)</t>
  </si>
  <si>
    <r>
      <t>C</t>
    </r>
    <r>
      <rPr>
        <b/>
        <i/>
        <vertAlign val="subscript"/>
        <sz val="16"/>
        <color theme="1"/>
        <rFont val="Calibri"/>
        <family val="2"/>
        <scheme val="minor"/>
      </rPr>
      <t>P =</t>
    </r>
  </si>
  <si>
    <t xml:space="preserve">surface (location on building envelope) pressure coefficient, dimensionless </t>
  </si>
  <si>
    <r>
      <t>∆P</t>
    </r>
    <r>
      <rPr>
        <b/>
        <vertAlign val="subscript"/>
        <sz val="14"/>
        <color theme="1"/>
        <rFont val="Calibri"/>
        <family val="2"/>
      </rPr>
      <t>W</t>
    </r>
    <r>
      <rPr>
        <b/>
        <sz val="14"/>
        <color theme="1"/>
        <rFont val="Calibri"/>
        <family val="2"/>
      </rPr>
      <t xml:space="preserve"> = C</t>
    </r>
    <r>
      <rPr>
        <b/>
        <vertAlign val="sub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 xml:space="preserve"> * s</t>
    </r>
    <r>
      <rPr>
        <b/>
        <vertAlign val="super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 xml:space="preserve"> * C</t>
    </r>
    <r>
      <rPr>
        <b/>
        <vertAlign val="superscript"/>
        <sz val="14"/>
        <color theme="1"/>
        <rFont val="Calibri"/>
        <family val="2"/>
      </rPr>
      <t>P</t>
    </r>
    <r>
      <rPr>
        <b/>
        <sz val="14"/>
        <color theme="1"/>
        <rFont val="Calibri"/>
        <family val="2"/>
      </rPr>
      <t xml:space="preserve"> * ρ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 xml:space="preserve"> * (U</t>
    </r>
    <r>
      <rPr>
        <b/>
        <vertAlign val="subscript"/>
        <sz val="14"/>
        <color theme="1"/>
        <rFont val="Calibri"/>
        <family val="2"/>
      </rPr>
      <t>H</t>
    </r>
    <r>
      <rPr>
        <b/>
        <sz val="14"/>
        <color theme="1"/>
        <rFont val="Calibri"/>
        <family val="2"/>
      </rPr>
      <t>)</t>
    </r>
    <r>
      <rPr>
        <b/>
        <vertAlign val="super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 xml:space="preserve"> / 2</t>
    </r>
  </si>
  <si>
    <t xml:space="preserve"> </t>
  </si>
  <si>
    <t>feet to meters</t>
  </si>
  <si>
    <t xml:space="preserve">Note: Using the above equation, the wind pressure  is 0.1 in. of water at 15 mph wind on windward surface </t>
  </si>
  <si>
    <r>
      <t>∆P</t>
    </r>
    <r>
      <rPr>
        <vertAlign val="subscript"/>
        <sz val="12"/>
        <color theme="1"/>
        <rFont val="Calibri"/>
        <family val="2"/>
      </rPr>
      <t>W</t>
    </r>
    <r>
      <rPr>
        <sz val="12"/>
        <color theme="1"/>
        <rFont val="Calibri"/>
        <family val="2"/>
      </rPr>
      <t xml:space="preserve"> =</t>
    </r>
  </si>
  <si>
    <t>Wind Surface Pr. above Outdoor Air Press (in.wg)</t>
  </si>
  <si>
    <t>lbs/ft3 to kg/m3</t>
  </si>
  <si>
    <t>(0.4 in. of water at 30 mph)</t>
  </si>
  <si>
    <r>
      <t>C</t>
    </r>
    <r>
      <rPr>
        <vertAlign val="sub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 xml:space="preserve"> =</t>
    </r>
  </si>
  <si>
    <r>
      <t>Conv. Factor  (in.wg * ft</t>
    </r>
    <r>
      <rPr>
        <vertAlign val="superscript"/>
        <sz val="12"/>
        <color theme="1"/>
        <rFont val="Calibri"/>
        <family val="2"/>
      </rPr>
      <t>3</t>
    </r>
    <r>
      <rPr>
        <sz val="12"/>
        <color theme="1"/>
        <rFont val="Calibri"/>
        <family val="2"/>
      </rPr>
      <t>/lb</t>
    </r>
    <r>
      <rPr>
        <vertAlign val="subscript"/>
        <sz val="12"/>
        <color theme="1"/>
        <rFont val="Calibri"/>
        <family val="2"/>
      </rPr>
      <t>m</t>
    </r>
    <r>
      <rPr>
        <sz val="12"/>
        <color theme="1"/>
        <rFont val="Calibri"/>
        <family val="2"/>
      </rPr>
      <t xml:space="preserve"> * mph</t>
    </r>
    <r>
      <rPr>
        <vertAlign val="super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)</t>
    </r>
  </si>
  <si>
    <t>m3/hr to ft3/min</t>
  </si>
  <si>
    <r>
      <t>C</t>
    </r>
    <r>
      <rPr>
        <vertAlign val="subscript"/>
        <sz val="12"/>
        <color theme="1"/>
        <rFont val="Calibri"/>
        <family val="2"/>
      </rPr>
      <t>P</t>
    </r>
    <r>
      <rPr>
        <sz val="12"/>
        <color theme="1"/>
        <rFont val="Calibri"/>
        <family val="2"/>
      </rPr>
      <t xml:space="preserve"> =</t>
    </r>
  </si>
  <si>
    <t>Wind Surface Pr. Coeff ( = 0.5 to 0.8)</t>
  </si>
  <si>
    <t>mph to Km/hr</t>
  </si>
  <si>
    <t>Air density varies with temperature. In cold weather, low density air infiltrates the building, rises within the high rise</t>
  </si>
  <si>
    <t>Shelter Factor (0.4 for example)</t>
  </si>
  <si>
    <t>K-Pa to In.wg</t>
  </si>
  <si>
    <t>bldg’s vertical shafts as it warms &amp; creates stack effect pressure. The basic stack  effect theory is expressed as:</t>
  </si>
  <si>
    <t>OA Density at OA Temp, lbm/ft2</t>
  </si>
  <si>
    <t>K-Pa to In.Hg</t>
  </si>
  <si>
    <r>
      <t>∆P</t>
    </r>
    <r>
      <rPr>
        <b/>
        <i/>
        <vertAlign val="subscript"/>
        <sz val="16"/>
        <color theme="1"/>
        <rFont val="Calibri"/>
        <family val="2"/>
      </rPr>
      <t>S</t>
    </r>
    <r>
      <rPr>
        <b/>
        <i/>
        <sz val="16"/>
        <color theme="1"/>
        <rFont val="Calibri"/>
        <family val="2"/>
      </rPr>
      <t xml:space="preserve"> =</t>
    </r>
  </si>
  <si>
    <t xml:space="preserve">stack pressure, in of water </t>
  </si>
  <si>
    <r>
      <t>U</t>
    </r>
    <r>
      <rPr>
        <vertAlign val="subscript"/>
        <sz val="12"/>
        <color theme="1"/>
        <rFont val="Calibri"/>
        <family val="2"/>
      </rPr>
      <t>H</t>
    </r>
    <r>
      <rPr>
        <sz val="12"/>
        <color theme="1"/>
        <rFont val="Calibri"/>
        <family val="2"/>
      </rPr>
      <t xml:space="preserve"> =</t>
    </r>
  </si>
  <si>
    <t>Effective Wind Speed (mph)</t>
  </si>
  <si>
    <t>K-Pa to PSI</t>
  </si>
  <si>
    <t>T =</t>
  </si>
  <si>
    <r>
      <t xml:space="preserve">temperature, </t>
    </r>
    <r>
      <rPr>
        <vertAlign val="superscript"/>
        <sz val="14"/>
        <color theme="1"/>
        <rFont val="Times New Roman"/>
        <family val="1"/>
      </rPr>
      <t>o</t>
    </r>
    <r>
      <rPr>
        <sz val="14"/>
        <color theme="1"/>
        <rFont val="Times New Roman"/>
        <family val="1"/>
      </rPr>
      <t>R</t>
    </r>
  </si>
  <si>
    <t>(Indoor - Outdor) Press (in. H2O)</t>
  </si>
  <si>
    <t>to</t>
  </si>
  <si>
    <t>Sq.Ft to Sq.M</t>
  </si>
  <si>
    <t>Airflow (Leakge) thru Envelope</t>
  </si>
  <si>
    <t>Air Pressue and the Building Envelope by Rick Quirouette</t>
  </si>
  <si>
    <r>
      <t>C</t>
    </r>
    <r>
      <rPr>
        <b/>
        <i/>
        <vertAlign val="subscript"/>
        <sz val="16"/>
        <color theme="1"/>
        <rFont val="Calibri"/>
        <family val="2"/>
        <scheme val="minor"/>
      </rPr>
      <t>2</t>
    </r>
    <r>
      <rPr>
        <b/>
        <i/>
        <sz val="16"/>
        <color theme="1"/>
        <rFont val="Calibri"/>
        <family val="2"/>
        <scheme val="minor"/>
      </rPr>
      <t>, ρ, g =</t>
    </r>
  </si>
  <si>
    <t>air density and gravity constant, 0.01444</t>
  </si>
  <si>
    <t>h =</t>
  </si>
  <si>
    <t>height, feet</t>
  </si>
  <si>
    <r>
      <t xml:space="preserve"> Q = C</t>
    </r>
    <r>
      <rPr>
        <b/>
        <vertAlign val="subscript"/>
        <sz val="14"/>
        <color theme="1"/>
        <rFont val="Calibri"/>
        <family val="2"/>
        <scheme val="minor"/>
      </rPr>
      <t>d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* A * ( 2 * ∆P/d )</t>
    </r>
    <r>
      <rPr>
        <b/>
        <vertAlign val="superscript"/>
        <sz val="14"/>
        <color theme="1"/>
        <rFont val="Calibri"/>
        <family val="2"/>
        <scheme val="minor"/>
      </rPr>
      <t>0.5</t>
    </r>
  </si>
  <si>
    <r>
      <t>C</t>
    </r>
    <r>
      <rPr>
        <b/>
        <vertAlign val="subscript"/>
        <sz val="14"/>
        <color theme="1"/>
        <rFont val="Calibri"/>
        <family val="2"/>
      </rPr>
      <t>d</t>
    </r>
    <r>
      <rPr>
        <b/>
        <sz val="14"/>
        <color theme="1"/>
        <rFont val="Calibri"/>
        <family val="2"/>
      </rPr>
      <t xml:space="preserve"> =</t>
    </r>
  </si>
  <si>
    <t>Convert</t>
  </si>
  <si>
    <t xml:space="preserve"> In.Hg</t>
  </si>
  <si>
    <r>
      <t>in.H</t>
    </r>
    <r>
      <rPr>
        <b/>
        <vertAlign val="subscript"/>
        <sz val="14"/>
        <color rgb="FF002060"/>
        <rFont val="Calibri"/>
        <family val="2"/>
      </rPr>
      <t>2</t>
    </r>
    <r>
      <rPr>
        <b/>
        <sz val="14"/>
        <color rgb="FF002060"/>
        <rFont val="Calibri"/>
        <family val="2"/>
      </rPr>
      <t xml:space="preserve">O  </t>
    </r>
  </si>
  <si>
    <r>
      <t>h</t>
    </r>
    <r>
      <rPr>
        <b/>
        <i/>
        <vertAlign val="subscript"/>
        <sz val="16"/>
        <color theme="1"/>
        <rFont val="Calibri"/>
        <family val="2"/>
        <scheme val="minor"/>
      </rPr>
      <t>neutral</t>
    </r>
    <r>
      <rPr>
        <b/>
        <i/>
        <sz val="16"/>
        <color theme="1"/>
        <rFont val="Calibri"/>
        <family val="2"/>
        <scheme val="minor"/>
      </rPr>
      <t xml:space="preserve"> =</t>
    </r>
  </si>
  <si>
    <t>height of neutral pressure level</t>
  </si>
  <si>
    <t>or</t>
  </si>
  <si>
    <r>
      <t>∆P = (d/2) * (Q / (Cd * A))</t>
    </r>
    <r>
      <rPr>
        <b/>
        <vertAlign val="superscript"/>
        <sz val="14"/>
        <color theme="1"/>
        <rFont val="Calibri"/>
        <family val="2"/>
        <scheme val="minor"/>
      </rPr>
      <t>2</t>
    </r>
  </si>
  <si>
    <r>
      <t>Note: Using the above equation, the stack pressure is 1.1 in. of water for a 60 story building with -10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 xml:space="preserve">F </t>
    </r>
  </si>
  <si>
    <t>PD across Opening, Pa</t>
  </si>
  <si>
    <r>
      <t>In.H</t>
    </r>
    <r>
      <rPr>
        <vertAlign val="sub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O</t>
    </r>
  </si>
  <si>
    <t>outside temperature</t>
  </si>
  <si>
    <t>Airflow Rate, m3/s</t>
  </si>
  <si>
    <t xml:space="preserve">Discharge Coeff. for Opening, dimensionless (0.6) </t>
  </si>
  <si>
    <t>Kgf/m2</t>
  </si>
  <si>
    <t>The resultant pressure difference will cause air flow based on the following expression for flow through an orifice:</t>
  </si>
  <si>
    <t>A =</t>
  </si>
  <si>
    <t>cross-sectional area of opening, m2</t>
  </si>
  <si>
    <t>mm.Hg</t>
  </si>
  <si>
    <t>air flow</t>
  </si>
  <si>
    <t xml:space="preserve">d = </t>
  </si>
  <si>
    <t>density of air, kg/m3</t>
  </si>
  <si>
    <t>air density</t>
  </si>
  <si>
    <r>
      <t>C</t>
    </r>
    <r>
      <rPr>
        <b/>
        <vertAlign val="subscript"/>
        <sz val="16"/>
        <color theme="1"/>
        <rFont val="Calibri"/>
        <family val="2"/>
        <scheme val="minor"/>
      </rPr>
      <t>f</t>
    </r>
    <r>
      <rPr>
        <b/>
        <sz val="16"/>
        <color theme="1"/>
        <rFont val="Calibri"/>
        <family val="2"/>
        <scheme val="minor"/>
      </rPr>
      <t xml:space="preserve"> =</t>
    </r>
  </si>
  <si>
    <t>flow coefficient</t>
  </si>
  <si>
    <t>Std. Atmos. Press. =</t>
  </si>
  <si>
    <r>
      <t>∆P</t>
    </r>
    <r>
      <rPr>
        <b/>
        <i/>
        <vertAlign val="subscript"/>
        <sz val="16"/>
        <color theme="1"/>
        <rFont val="Calibri"/>
        <family val="2"/>
      </rPr>
      <t>total</t>
    </r>
    <r>
      <rPr>
        <b/>
        <i/>
        <sz val="16"/>
        <color theme="1"/>
        <rFont val="Calibri"/>
        <family val="2"/>
      </rPr>
      <t xml:space="preserve"> =</t>
    </r>
  </si>
  <si>
    <t>total pressure difference across flow area</t>
  </si>
  <si>
    <t xml:space="preserve"> Pressurized Bldg:  Indoor Press. - Outdoor Press. =  </t>
  </si>
  <si>
    <t>PSYCHROMETRICS</t>
  </si>
  <si>
    <t>Temp t</t>
  </si>
  <si>
    <t>C1</t>
  </si>
  <si>
    <t>t  (DB)</t>
  </si>
  <si>
    <t>Dry Bulb Temperature (F)</t>
  </si>
  <si>
    <t>&lt; 32 F</t>
  </si>
  <si>
    <t>C2</t>
  </si>
  <si>
    <t>t"  (WB)</t>
  </si>
  <si>
    <t>Wet Bulb Temperature (F)</t>
  </si>
  <si>
    <t>Z-sl</t>
  </si>
  <si>
    <t>Altitude (Sea-Level) ft</t>
  </si>
  <si>
    <t>C3</t>
  </si>
  <si>
    <t>Altitude</t>
  </si>
  <si>
    <t>P-sl</t>
  </si>
  <si>
    <t>Std Atmos Press (in. Hg)</t>
  </si>
  <si>
    <t>C4</t>
  </si>
  <si>
    <t>P (in.Hg)</t>
  </si>
  <si>
    <t>Atmospheric Pressure (in. Hg)</t>
  </si>
  <si>
    <t>29.92 * ( 1 - 6.8753*10^-6 * Z )^5.2559</t>
  </si>
  <si>
    <t>DB-sl</t>
  </si>
  <si>
    <t>Dry Bulb T at Std.Atm.Pr.</t>
  </si>
  <si>
    <t>C5</t>
  </si>
  <si>
    <t>Water Vapor Press. at Saturation</t>
  </si>
  <si>
    <t>pws * 2.041772658</t>
  </si>
  <si>
    <t>Site Alitude of Project (ft)</t>
  </si>
  <si>
    <t>C6</t>
  </si>
  <si>
    <t>P (psi)</t>
  </si>
  <si>
    <t>Entering Pressure (psi)</t>
  </si>
  <si>
    <t>P (in.Hg) * 2.041772658</t>
  </si>
  <si>
    <t>p</t>
  </si>
  <si>
    <t>Atm. Pr. at Site Altit (in.Hg)</t>
  </si>
  <si>
    <t>C7</t>
  </si>
  <si>
    <t>pw</t>
  </si>
  <si>
    <t>Partial Press Water Vapor</t>
  </si>
  <si>
    <t>( P_in.Hg * W ) /  (0.62198 + W )</t>
  </si>
  <si>
    <t>C8</t>
  </si>
  <si>
    <t>T"</t>
  </si>
  <si>
    <t>Absolute Temp (R)</t>
  </si>
  <si>
    <t>t* + 459.67</t>
  </si>
  <si>
    <t>t" (WB)</t>
  </si>
  <si>
    <t>&gt; 32 F</t>
  </si>
  <si>
    <t>C9</t>
  </si>
  <si>
    <t>pws"</t>
  </si>
  <si>
    <t>Satur Water Vap Pr.  ( t &gt; 32 )</t>
  </si>
  <si>
    <t xml:space="preserve">LN(pws") = C8/T + C9 + C10*T + </t>
  </si>
  <si>
    <t>Atmos Pressure (psi)</t>
  </si>
  <si>
    <t>C10</t>
  </si>
  <si>
    <t xml:space="preserve">               C11*T^2 + C12*T^3 + C13*LN(T)</t>
  </si>
  <si>
    <t>C11</t>
  </si>
  <si>
    <t>Ws"</t>
  </si>
  <si>
    <t>Humidity Ratio  ( t &gt; 32 )</t>
  </si>
  <si>
    <t>0.62198 * ( pws" / (P_psi - pws" )</t>
  </si>
  <si>
    <t>C12</t>
  </si>
  <si>
    <t>T</t>
  </si>
  <si>
    <t>t + 459.67</t>
  </si>
  <si>
    <t>Absolute WB Temp (R)</t>
  </si>
  <si>
    <t>C13</t>
  </si>
  <si>
    <t>Humidity Ratio</t>
  </si>
  <si>
    <t xml:space="preserve">( ( 1093 - 0.556*t" ) * Ws" - </t>
  </si>
  <si>
    <t>C14</t>
  </si>
  <si>
    <t xml:space="preserve">        0.24 * (t - t") / ( 1093 + 0.444 * t - t")</t>
  </si>
  <si>
    <t>C15</t>
  </si>
  <si>
    <t>pws</t>
  </si>
  <si>
    <t xml:space="preserve">LN(pws_db) = C8/T + C9 + C10*T + </t>
  </si>
  <si>
    <t>Absolute DB Temp (R)</t>
  </si>
  <si>
    <t>C16</t>
  </si>
  <si>
    <t xml:space="preserve">              C11*T^2 + C12*T^3 + C13*LN(T)</t>
  </si>
  <si>
    <t>C17</t>
  </si>
  <si>
    <t>Ws</t>
  </si>
  <si>
    <t>0.62198 * ( Ws / ( P_psi - Ws) )</t>
  </si>
  <si>
    <t>C18</t>
  </si>
  <si>
    <t>Mole Fraction Water Vapor</t>
  </si>
  <si>
    <t>W/Ws</t>
  </si>
  <si>
    <t>C19</t>
  </si>
  <si>
    <t>Degree of Saturation</t>
  </si>
  <si>
    <t>m / (1- (1-m) * ( pws / P_psi ) )</t>
  </si>
  <si>
    <t>C20</t>
  </si>
  <si>
    <t>LN ( pw * 0.4897705)</t>
  </si>
  <si>
    <t>f (DS)</t>
  </si>
  <si>
    <t>C21</t>
  </si>
  <si>
    <t>Relative Humidity ( % )</t>
  </si>
  <si>
    <t>100 * f</t>
  </si>
  <si>
    <t>td  (DP)</t>
  </si>
  <si>
    <t>Dew Point Temperature ( t &gt; 32 )</t>
  </si>
  <si>
    <t xml:space="preserve">td = C14 + C15*a + C16*a^2 + </t>
  </si>
  <si>
    <t>u (RH)</t>
  </si>
  <si>
    <t>Altitude (Z)</t>
  </si>
  <si>
    <t xml:space="preserve">                   C17*a^3 + C18*pw^0.1984</t>
  </si>
  <si>
    <t>Dew Point Temp  ( t &gt; 32 F )</t>
  </si>
  <si>
    <t>Atmos. Press. (in. Hg) at Alt Z</t>
  </si>
  <si>
    <t>Humidity Ratio (lbs/lb)</t>
  </si>
  <si>
    <t>Atmos. Press. (psi) at Alt Z</t>
  </si>
  <si>
    <t xml:space="preserve">       0.24 * (t - t") / ( 1093 + 0.444 * t - t")</t>
  </si>
  <si>
    <t>Humidity Ratio (grains/lb)</t>
  </si>
  <si>
    <t>Dry Bulb Temp (F) at Alt Z</t>
  </si>
  <si>
    <t xml:space="preserve"> 7000 * W</t>
  </si>
  <si>
    <t>Enthalpy (btu/lb)</t>
  </si>
  <si>
    <t>Humidity Ratio at DB/WB lbs/lb</t>
  </si>
  <si>
    <t>Enthalpy</t>
  </si>
  <si>
    <t>0.24*t + W * (1061 + 0.444*t)</t>
  </si>
  <si>
    <t>Specific Volume (ft3/lb)</t>
  </si>
  <si>
    <t>Vapor Pressure at DB/WB</t>
  </si>
  <si>
    <t>Specific Volume</t>
  </si>
  <si>
    <t>0.7543 * ( T * (1 + 1.6078*W ) ) / P</t>
  </si>
  <si>
    <t>Mole Fraction of Water Vapor</t>
  </si>
  <si>
    <t>Dry Bulb (DB) Temp (F)</t>
  </si>
  <si>
    <t>Pws</t>
  </si>
  <si>
    <t>Satur. Water Vap Press ( &gt; 32 F)</t>
  </si>
  <si>
    <t>Relative Humidity (%)</t>
  </si>
  <si>
    <t>Dew Point Temp ( t &gt; 32  F )</t>
  </si>
  <si>
    <t>Humidity Ratio (lbs/lb) ( &gt; 32 F )</t>
  </si>
  <si>
    <t>t*  (WB)</t>
  </si>
  <si>
    <t>Pws*</t>
  </si>
  <si>
    <t>Ws*</t>
  </si>
  <si>
    <t>High-Rise - Apt-Condo Bldg with operable windows - Ventil-Exhaust - Pressure-Analysis</t>
  </si>
  <si>
    <t>Apt Unit Types - Studio, 1, 2, 3 bedrooms</t>
  </si>
  <si>
    <t>APARTMENT Building:  Schedules / Profiles</t>
  </si>
  <si>
    <t>DOE2 - 0 to 1 (fraction)</t>
  </si>
  <si>
    <t>TRACE - 0 to 100 (percent)</t>
  </si>
  <si>
    <t># units/flr &amp; unit types vary per section &amp; floor</t>
  </si>
  <si>
    <t xml:space="preserve"> Space</t>
  </si>
  <si>
    <t>SF</t>
  </si>
  <si>
    <t xml:space="preserve"> Apartment</t>
  </si>
  <si>
    <t>cfm/SF</t>
  </si>
  <si>
    <t>Diversity/Floor</t>
  </si>
  <si>
    <t>Core-Exhst fan-cfm/Flr</t>
  </si>
  <si>
    <t>Apt Ktchn &amp; Bthrm Exhaust</t>
  </si>
  <si>
    <t>CORE  Exhaust &amp; Supply Air</t>
  </si>
  <si>
    <t>2 Bthr per 2-bdrm &amp; 1-bdrm (1-Riser/Apt)</t>
  </si>
  <si>
    <t>sfK</t>
  </si>
  <si>
    <t>Ktchn</t>
  </si>
  <si>
    <t>sf1</t>
  </si>
  <si>
    <t xml:space="preserve"> 1-Bdrm</t>
  </si>
  <si>
    <t>oaA</t>
  </si>
  <si>
    <t>Apt-Ventil</t>
  </si>
  <si>
    <t>dvA</t>
  </si>
  <si>
    <t>exT</t>
  </si>
  <si>
    <t>Trash Chute</t>
  </si>
  <si>
    <t xml:space="preserve"> Bldg-Sectn - 1</t>
  </si>
  <si>
    <t xml:space="preserve"> Bldg-Sectn - 2</t>
  </si>
  <si>
    <t xml:space="preserve"> Bldg-Sectn - 3</t>
  </si>
  <si>
    <t xml:space="preserve"> Bldg-Sectn - 4</t>
  </si>
  <si>
    <t>Hour No.  (DOE2)</t>
  </si>
  <si>
    <t>Hour No. (TRACE)</t>
  </si>
  <si>
    <t>Hour
From-To</t>
  </si>
  <si>
    <t>People 
(Apt-PPL)</t>
  </si>
  <si>
    <t>Lights 
(Apt-LGT)</t>
  </si>
  <si>
    <t>Equipment
(Apt-EQP)</t>
  </si>
  <si>
    <t>Elevators
(Apt-ELV)</t>
  </si>
  <si>
    <t xml:space="preserve">Domestic
Hot Water 
</t>
  </si>
  <si>
    <t xml:space="preserve">Apt Ventil =
People Schd 
</t>
  </si>
  <si>
    <t xml:space="preserve">Apt Toilet
Exhaust 
</t>
  </si>
  <si>
    <t xml:space="preserve">Apt Kitchen
Exhaust 
</t>
  </si>
  <si>
    <t xml:space="preserve">Core General
Exhaust 
</t>
  </si>
  <si>
    <t xml:space="preserve">Trash Chute
Exhaust 
</t>
  </si>
  <si>
    <t xml:space="preserve">Core Storage
Exhaust
</t>
  </si>
  <si>
    <t xml:space="preserve">Core Laundr
Exhaust 
</t>
  </si>
  <si>
    <t xml:space="preserve">System/AHU
Operatg Sch 
</t>
  </si>
  <si>
    <t xml:space="preserve">Smmr Inside
DB Temp (F) 
</t>
  </si>
  <si>
    <t xml:space="preserve">Heating Unit
Operatg Sch 
</t>
  </si>
  <si>
    <t xml:space="preserve">Wntr Inside 
DB Temp (F) 
</t>
  </si>
  <si>
    <t>1 Bthr per Studio &amp; 1-bdrm (1-Riser/Apt)</t>
  </si>
  <si>
    <t>sfB</t>
  </si>
  <si>
    <t>Bthrm</t>
  </si>
  <si>
    <t>sf2</t>
  </si>
  <si>
    <t xml:space="preserve"> 2-Bdrm</t>
  </si>
  <si>
    <t>exK</t>
  </si>
  <si>
    <t>Kitchn-Exh</t>
  </si>
  <si>
    <t>dvK</t>
  </si>
  <si>
    <t>exS</t>
  </si>
  <si>
    <t>Storg/Lckrs</t>
  </si>
  <si>
    <t>Flrs/Sectn</t>
  </si>
  <si>
    <r>
      <rPr>
        <b/>
        <sz val="14"/>
        <color rgb="FFC00000"/>
        <rFont val="Lucida Sans"/>
        <family val="2"/>
      </rPr>
      <t xml:space="preserve"> (1)</t>
    </r>
    <r>
      <rPr>
        <sz val="11"/>
        <color rgb="FFC00000"/>
        <rFont val="Lucida Sans"/>
        <family val="2"/>
      </rPr>
      <t xml:space="preserve"> Water Source</t>
    </r>
  </si>
  <si>
    <t>1 Ktch per Apt (1-Riser/Apt)</t>
  </si>
  <si>
    <t>sfS</t>
  </si>
  <si>
    <t>Studio</t>
  </si>
  <si>
    <t>sf3</t>
  </si>
  <si>
    <t xml:space="preserve"> 3-Bdrm</t>
  </si>
  <si>
    <t>exB</t>
  </si>
  <si>
    <t>Bthrm-Exh</t>
  </si>
  <si>
    <t>dvB</t>
  </si>
  <si>
    <t>exL</t>
  </si>
  <si>
    <t>Laundry-Rm</t>
  </si>
  <si>
    <t>Kitchen Exh</t>
  </si>
  <si>
    <t>Bathrm Exh</t>
  </si>
  <si>
    <t>Storage Exh</t>
  </si>
  <si>
    <t>Laundry Exh</t>
  </si>
  <si>
    <t>Miscell Exh</t>
  </si>
  <si>
    <t>Supply Air</t>
  </si>
  <si>
    <t xml:space="preserve"> Heat Pumps (WSHP)</t>
  </si>
  <si>
    <t># Bldg-Sctns</t>
  </si>
  <si>
    <t xml:space="preserve">Core-Pressurizition-Ratio (SA/EA) </t>
  </si>
  <si>
    <t>oaC</t>
  </si>
  <si>
    <t>Core-Vent</t>
  </si>
  <si>
    <t>dvC</t>
  </si>
  <si>
    <t>Core-Exh</t>
  </si>
  <si>
    <t>exM</t>
  </si>
  <si>
    <t>Miscellan</t>
  </si>
  <si>
    <t xml:space="preserve"> Stacked Vertically in Closets</t>
  </si>
  <si>
    <t>Ventilation from Corridor</t>
  </si>
  <si>
    <t>Windows closed (HVAC System on) when winter dry bulb temp &lt; 65 degF and summer dew point temp &gt; 55 degF</t>
  </si>
  <si>
    <t>2-Pipe-Risers (WSHP &amp; FCU)</t>
  </si>
  <si>
    <t>Plumbing-Pipe-Risers</t>
  </si>
  <si>
    <t>supplied from under Door</t>
  </si>
  <si>
    <t>Row</t>
  </si>
  <si>
    <t>Column</t>
  </si>
  <si>
    <t>c1</t>
  </si>
  <si>
    <t>c2</t>
  </si>
  <si>
    <t>c3</t>
  </si>
  <si>
    <t>c4</t>
  </si>
  <si>
    <t>C O R E  Areas</t>
  </si>
  <si>
    <t>Services</t>
  </si>
  <si>
    <t xml:space="preserve"> CORE - EA Floor</t>
  </si>
  <si>
    <t>ROOF</t>
  </si>
  <si>
    <t>Flr-Sections</t>
  </si>
  <si>
    <t>S1</t>
  </si>
  <si>
    <t>S2</t>
  </si>
  <si>
    <t>S3</t>
  </si>
  <si>
    <t>S4</t>
  </si>
  <si>
    <t>Corridors</t>
  </si>
  <si>
    <t>TC</t>
  </si>
  <si>
    <t>Trash-Chute</t>
  </si>
  <si>
    <t>Units</t>
  </si>
  <si>
    <t>sf/P</t>
  </si>
  <si>
    <t>W/sf</t>
  </si>
  <si>
    <t>W/Elev</t>
  </si>
  <si>
    <t>gal/P</t>
  </si>
  <si>
    <t>cfm/P</t>
  </si>
  <si>
    <t>cfm/sf</t>
  </si>
  <si>
    <t>MAY - OCT</t>
  </si>
  <si>
    <t>NOV - APR</t>
  </si>
  <si>
    <t>NW</t>
  </si>
  <si>
    <t>N1</t>
  </si>
  <si>
    <t>N2</t>
  </si>
  <si>
    <t>NE</t>
  </si>
  <si>
    <t>r1</t>
  </si>
  <si>
    <t># of Studio Apts</t>
  </si>
  <si>
    <t>Flr-Flr-Trvl</t>
  </si>
  <si>
    <t>GE</t>
  </si>
  <si>
    <t>Miscell-Exh</t>
  </si>
  <si>
    <r>
      <t xml:space="preserve">Flr - </t>
    </r>
    <r>
      <rPr>
        <b/>
        <sz val="12"/>
        <color theme="1"/>
        <rFont val="Calibri"/>
        <family val="2"/>
      </rPr>
      <t>N</t>
    </r>
  </si>
  <si>
    <t>Design Basis &gt;&gt;</t>
  </si>
  <si>
    <t>On/Off</t>
  </si>
  <si>
    <t>Temp</t>
  </si>
  <si>
    <t>Not</t>
  </si>
  <si>
    <t>K</t>
  </si>
  <si>
    <t xml:space="preserve">OA </t>
  </si>
  <si>
    <t>OA</t>
  </si>
  <si>
    <t>r2</t>
  </si>
  <si>
    <t># of 1-Bdr Apts</t>
  </si>
  <si>
    <t>Exh Shaft</t>
  </si>
  <si>
    <t>LE</t>
  </si>
  <si>
    <t>Laundr-Exh</t>
  </si>
  <si>
    <t>Design Value &gt;&gt;</t>
  </si>
  <si>
    <t>0 / 100</t>
  </si>
  <si>
    <t>Used</t>
  </si>
  <si>
    <t>r3</t>
  </si>
  <si>
    <t># of 2-Bdr Apts</t>
  </si>
  <si>
    <t>Outdr Air</t>
  </si>
  <si>
    <t>EE</t>
  </si>
  <si>
    <t>Electric-Exh</t>
  </si>
  <si>
    <t>0 - 1</t>
  </si>
  <si>
    <t>OA - Corrid to Apts Under Door</t>
  </si>
  <si>
    <t>r4</t>
  </si>
  <si>
    <t># of 3-Bdr Apts</t>
  </si>
  <si>
    <t xml:space="preserve"> EA Apartments</t>
  </si>
  <si>
    <t>1 - 2</t>
  </si>
  <si>
    <t>W2</t>
  </si>
  <si>
    <t>Lockers</t>
  </si>
  <si>
    <t>Washers</t>
  </si>
  <si>
    <t>E1</t>
  </si>
  <si>
    <t>r5</t>
  </si>
  <si>
    <t>Core-A  % of Flr</t>
  </si>
  <si>
    <t>Calculations</t>
  </si>
  <si>
    <t>Bathrm-Exh</t>
  </si>
  <si>
    <t>2 - 3</t>
  </si>
  <si>
    <t>Corridor</t>
  </si>
  <si>
    <t>Storage</t>
  </si>
  <si>
    <t>Laundry</t>
  </si>
  <si>
    <t>r6</t>
  </si>
  <si>
    <t># of Kitch Risers</t>
  </si>
  <si>
    <t>r6 = r1 + r2 + r3 + r4</t>
  </si>
  <si>
    <t>Kitchen-Exh</t>
  </si>
  <si>
    <t>Intermediate Floors</t>
  </si>
  <si>
    <t>3 - 4</t>
  </si>
  <si>
    <t>Dryers</t>
  </si>
  <si>
    <t>r7</t>
  </si>
  <si>
    <t># of Bthr Risers</t>
  </si>
  <si>
    <t>r7 = r1 + r2 + 2*r3 + 2*r4</t>
  </si>
  <si>
    <t>4 - 5</t>
  </si>
  <si>
    <t>r8</t>
  </si>
  <si>
    <t>Tot-Apart-Area</t>
  </si>
  <si>
    <t>r8 = r1*sfS + r2*sf1 +r3*sf2 + r4*sf3</t>
  </si>
  <si>
    <t>5 - 6</t>
  </si>
  <si>
    <t>W1</t>
  </si>
  <si>
    <t>ELEVATORS</t>
  </si>
  <si>
    <t>STAIRS</t>
  </si>
  <si>
    <t>E2</t>
  </si>
  <si>
    <t>r9</t>
  </si>
  <si>
    <t>Tot-Core-A  SF</t>
  </si>
  <si>
    <t>r9 = (r8*r5/100) / (1-r5/100)</t>
  </si>
  <si>
    <t>6 - 7</t>
  </si>
  <si>
    <t>Util-Clo</t>
  </si>
  <si>
    <t>r10</t>
  </si>
  <si>
    <t>Tot-Flr-Area  SF</t>
  </si>
  <si>
    <t>r10 = r8 + r9</t>
  </si>
  <si>
    <t>Row-Col #s</t>
  </si>
  <si>
    <r>
      <t xml:space="preserve">Flr - </t>
    </r>
    <r>
      <rPr>
        <b/>
        <sz val="12"/>
        <color theme="1"/>
        <rFont val="Calibri"/>
        <family val="2"/>
      </rPr>
      <t>3</t>
    </r>
  </si>
  <si>
    <t>7 - 8</t>
  </si>
  <si>
    <t>r11</t>
  </si>
  <si>
    <t>Apt Vnt &lt; Corr</t>
  </si>
  <si>
    <t>r1 = r10 * oaA * dvA</t>
  </si>
  <si>
    <t>8 - 9</t>
  </si>
  <si>
    <t>r12</t>
  </si>
  <si>
    <t>Apt-Kitch-Exh</t>
  </si>
  <si>
    <t>r12 = r6 * exK * dvK * sfK</t>
  </si>
  <si>
    <r>
      <t xml:space="preserve">Flr - </t>
    </r>
    <r>
      <rPr>
        <b/>
        <sz val="12"/>
        <color theme="1"/>
        <rFont val="Calibri"/>
        <family val="2"/>
      </rPr>
      <t>2</t>
    </r>
  </si>
  <si>
    <t>9 - 10</t>
  </si>
  <si>
    <t>r13</t>
  </si>
  <si>
    <t>Apt-Bthrm-Exh</t>
  </si>
  <si>
    <t>r13 = r7 * exB * dvB * sfB</t>
  </si>
  <si>
    <t>10 - 11</t>
  </si>
  <si>
    <t>SW</t>
  </si>
  <si>
    <t>SE</t>
  </si>
  <si>
    <t>r14</t>
  </si>
  <si>
    <t>Apt Vnt+Exh</t>
  </si>
  <si>
    <t>r14 = r11 + r12 + r13</t>
  </si>
  <si>
    <t>User Input</t>
  </si>
  <si>
    <r>
      <t xml:space="preserve">Flr - </t>
    </r>
    <r>
      <rPr>
        <b/>
        <sz val="12"/>
        <color theme="1"/>
        <rFont val="Calibri"/>
        <family val="2"/>
      </rPr>
      <t>1</t>
    </r>
  </si>
  <si>
    <t>11 - 12</t>
  </si>
  <si>
    <t>r15</t>
  </si>
  <si>
    <t>Core-Supp-OA</t>
  </si>
  <si>
    <t>r15 = r14 * SA/EA</t>
  </si>
  <si>
    <t>Calculated</t>
  </si>
  <si>
    <t>Bldg-Sectn - 1</t>
  </si>
  <si>
    <t>Bldg-Sectn - 2</t>
  </si>
  <si>
    <t>Bldg-Sectn - 3</t>
  </si>
  <si>
    <t>Bldg-Sectn - 4</t>
  </si>
  <si>
    <t>12 - 13</t>
  </si>
  <si>
    <r>
      <rPr>
        <b/>
        <sz val="11"/>
        <color rgb="FFC00000"/>
        <rFont val="Lucida Sans"/>
        <family val="2"/>
      </rPr>
      <t>Alternate HVAC System</t>
    </r>
    <r>
      <rPr>
        <sz val="11"/>
        <color rgb="FFC00000"/>
        <rFont val="Lucida Sans"/>
        <family val="2"/>
      </rPr>
      <t xml:space="preserve"> =</t>
    </r>
    <r>
      <rPr>
        <b/>
        <sz val="14"/>
        <color rgb="FFC00000"/>
        <rFont val="Lucida Sans"/>
        <family val="2"/>
      </rPr>
      <t xml:space="preserve"> (2)</t>
    </r>
    <r>
      <rPr>
        <sz val="11"/>
        <color rgb="FFC00000"/>
        <rFont val="Lucida Sans"/>
        <family val="2"/>
      </rPr>
      <t xml:space="preserve"> Window A-C Units + Electric Baseboard Heat</t>
    </r>
  </si>
  <si>
    <t>r16</t>
  </si>
  <si>
    <t>Cor-OA-cfm/SF</t>
  </si>
  <si>
    <t>r16 = r15 / r9</t>
  </si>
  <si>
    <t>Aprtmnts</t>
  </si>
  <si>
    <t xml:space="preserve"> Ktch &amp; Bthr Exh</t>
  </si>
  <si>
    <t>Risers/Section    [Exhsts = 1-Trash-Chute, 2-Storage, 3-Laundry, 4-Miscell]      5-Supply-OA</t>
  </si>
  <si>
    <t>13 - 14</t>
  </si>
  <si>
    <t>Site Plan</t>
  </si>
  <si>
    <r>
      <t xml:space="preserve">or </t>
    </r>
    <r>
      <rPr>
        <b/>
        <sz val="12"/>
        <color rgb="FFC00000"/>
        <rFont val="Lucida Sans"/>
        <family val="2"/>
      </rPr>
      <t>(3a)</t>
    </r>
    <r>
      <rPr>
        <sz val="11"/>
        <color rgb="FFC00000"/>
        <rFont val="Lucida Sans"/>
        <family val="2"/>
      </rPr>
      <t xml:space="preserve"> 2-Pipe (Elctr-Htg) or </t>
    </r>
    <r>
      <rPr>
        <b/>
        <sz val="12"/>
        <color rgb="FFC00000"/>
        <rFont val="Lucida Sans"/>
        <family val="2"/>
      </rPr>
      <t>(3b)</t>
    </r>
    <r>
      <rPr>
        <sz val="11"/>
        <color rgb="FFC00000"/>
        <rFont val="Lucida Sans"/>
        <family val="2"/>
      </rPr>
      <t xml:space="preserve"> 4-Pipe (HW-Htg) Fan-Coil Units (FCU) or</t>
    </r>
    <r>
      <rPr>
        <b/>
        <sz val="12"/>
        <color rgb="FFC00000"/>
        <rFont val="Lucida Sans"/>
        <family val="2"/>
      </rPr>
      <t xml:space="preserve"> </t>
    </r>
    <r>
      <rPr>
        <b/>
        <sz val="14"/>
        <color rgb="FFC00000"/>
        <rFont val="Lucida Sans"/>
        <family val="2"/>
      </rPr>
      <t>(4)</t>
    </r>
    <r>
      <rPr>
        <sz val="11"/>
        <color rgb="FFC00000"/>
        <rFont val="Lucida Sans"/>
        <family val="2"/>
      </rPr>
      <t xml:space="preserve"> Central HVAC System (heating &amp; cooling)</t>
    </r>
  </si>
  <si>
    <t>Ktch-Bthr</t>
  </si>
  <si>
    <t># Ktc Risers</t>
  </si>
  <si>
    <t>1-Trash</t>
  </si>
  <si>
    <t>14 - 15</t>
  </si>
  <si>
    <t>N  Street</t>
  </si>
  <si>
    <t>Bldg-Apt Complex</t>
  </si>
  <si>
    <t>Ktch Exh</t>
  </si>
  <si>
    <t>Trash Fan-SP</t>
  </si>
  <si>
    <t>15 - 16</t>
  </si>
  <si>
    <t>Elevation</t>
  </si>
  <si>
    <t>Sections</t>
  </si>
  <si>
    <t>Divers</t>
  </si>
  <si>
    <t>Ktch Fan-SP</t>
  </si>
  <si>
    <t>2-Storage</t>
  </si>
  <si>
    <t>16 - 17</t>
  </si>
  <si>
    <t>X  Avenue</t>
  </si>
  <si>
    <t>Z  Avenue</t>
  </si>
  <si>
    <t>r21</t>
  </si>
  <si>
    <t>Bth Risers</t>
  </si>
  <si>
    <t>Storg Fan-SP</t>
  </si>
  <si>
    <t>17 - 18</t>
  </si>
  <si>
    <t>Court</t>
  </si>
  <si>
    <t>r22</t>
  </si>
  <si>
    <t>Sctn Flr SF</t>
  </si>
  <si>
    <t>Flr-A = r21 * r10</t>
  </si>
  <si>
    <t>Bthr Exh</t>
  </si>
  <si>
    <t>3-Laundry</t>
  </si>
  <si>
    <t>18 - 19</t>
  </si>
  <si>
    <t>Yard</t>
  </si>
  <si>
    <t>r23</t>
  </si>
  <si>
    <t>Apt-Vent</t>
  </si>
  <si>
    <t>Ap-V = r23 * r21 * r11</t>
  </si>
  <si>
    <t>Bthr Fan-SP</t>
  </si>
  <si>
    <t>Lndry Fan-SP</t>
  </si>
  <si>
    <t>19 - 20</t>
  </si>
  <si>
    <t>r24</t>
  </si>
  <si>
    <t>Kitchn Exh</t>
  </si>
  <si>
    <t>Kt-Ex = r24 * r21 * r12</t>
  </si>
  <si>
    <t>Apt Vnt</t>
  </si>
  <si>
    <t>4-Miscell</t>
  </si>
  <si>
    <t>20 - 21</t>
  </si>
  <si>
    <t>r25</t>
  </si>
  <si>
    <t>Bthrm Exh</t>
  </si>
  <si>
    <t>Bt-Ex = r25 * r21 * r13</t>
  </si>
  <si>
    <t>Apt Exh</t>
  </si>
  <si>
    <t>Miscl Fan-SP</t>
  </si>
  <si>
    <t>21 - 22</t>
  </si>
  <si>
    <t>N+1  Street</t>
  </si>
  <si>
    <t>Sctn-1</t>
  </si>
  <si>
    <t>Sctn-2</t>
  </si>
  <si>
    <t>Sctn-3</t>
  </si>
  <si>
    <t>Sctn-4</t>
  </si>
  <si>
    <t>r26</t>
  </si>
  <si>
    <t>Core-Exhst</t>
  </si>
  <si>
    <t>Cr-Ex = r26 * r21 * r14</t>
  </si>
  <si>
    <t>Bldg (all sections) Ventil Air (cfm)</t>
  </si>
  <si>
    <t>5-OA</t>
  </si>
  <si>
    <t>22 - 23</t>
  </si>
  <si>
    <t>Lobby-Services-Offices-Garage</t>
  </si>
  <si>
    <t>r27</t>
  </si>
  <si>
    <t>Cor-Apt-OA</t>
  </si>
  <si>
    <t>Ap-SA  r27 * r21 * r15</t>
  </si>
  <si>
    <t>Bldg (all sections) Exhaust Air (cfm)</t>
  </si>
  <si>
    <t>Core-Pressurization</t>
  </si>
  <si>
    <t>S-OA Fan-SP</t>
  </si>
  <si>
    <t>23 - 24</t>
  </si>
</sst>
</file>

<file path=xl/styles.xml><?xml version="1.0" encoding="utf-8"?>
<styleSheet xmlns="http://schemas.openxmlformats.org/spreadsheetml/2006/main">
  <numFmts count="1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"/>
    <numFmt numFmtId="165" formatCode="0.000"/>
    <numFmt numFmtId="166" formatCode="0.0000"/>
    <numFmt numFmtId="167" formatCode="0.0"/>
    <numFmt numFmtId="168" formatCode="#,##0.0"/>
    <numFmt numFmtId="169" formatCode="#,##0.0000"/>
    <numFmt numFmtId="170" formatCode="#,##0.000"/>
    <numFmt numFmtId="171" formatCode="0.0000000E+00"/>
    <numFmt numFmtId="172" formatCode="_(* #,##0.0_);_(* \(#,##0.0\);_(* &quot;-&quot;??_);_(@_)"/>
    <numFmt numFmtId="173" formatCode="0.00000"/>
    <numFmt numFmtId="174" formatCode="_(* #,##0.00000_);_(* \(#,##0.00000\);_(* &quot;-&quot;?????_);_(@_)"/>
    <numFmt numFmtId="175" formatCode="_(* #,##0.0000_);_(* \(#,##0.0000\);_(* &quot;-&quot;????_);_(@_)"/>
  </numFmts>
  <fonts count="120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sz val="8"/>
      <name val="Times New Roman"/>
      <family val="1"/>
    </font>
    <font>
      <sz val="7"/>
      <name val="Times New Roman"/>
      <family val="1"/>
    </font>
    <font>
      <b/>
      <sz val="13"/>
      <color theme="1"/>
      <name val="Calibri"/>
      <family val="2"/>
    </font>
    <font>
      <sz val="13"/>
      <color theme="1"/>
      <name val="Calibri"/>
      <family val="2"/>
    </font>
    <font>
      <vertAlign val="subscript"/>
      <sz val="13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vertAlign val="subscript"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  <scheme val="minor"/>
    </font>
    <font>
      <sz val="14"/>
      <color theme="1"/>
      <name val="Calibri"/>
      <family val="2"/>
    </font>
    <font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</font>
    <font>
      <sz val="12"/>
      <color rgb="FFC00000"/>
      <name val="Calibri"/>
      <family val="2"/>
    </font>
    <font>
      <b/>
      <sz val="13"/>
      <color rgb="FFC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i/>
      <sz val="12"/>
      <color theme="1"/>
      <name val="Calibri"/>
      <family val="2"/>
    </font>
    <font>
      <b/>
      <sz val="12"/>
      <color rgb="FFC00000"/>
      <name val="Calibri"/>
      <family val="2"/>
    </font>
    <font>
      <b/>
      <sz val="11"/>
      <color rgb="FFC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</font>
    <font>
      <b/>
      <vertAlign val="subscript"/>
      <sz val="14"/>
      <color theme="1"/>
      <name val="Calibri"/>
      <family val="2"/>
      <scheme val="minor"/>
    </font>
    <font>
      <sz val="9"/>
      <name val="Times New Roman"/>
      <family val="1"/>
    </font>
    <font>
      <b/>
      <sz val="18"/>
      <color theme="1"/>
      <name val="Calibri"/>
      <family val="2"/>
    </font>
    <font>
      <b/>
      <sz val="14"/>
      <color rgb="FF002060"/>
      <name val="Calibri"/>
      <family val="2"/>
    </font>
    <font>
      <sz val="12"/>
      <color rgb="FF002060"/>
      <name val="Calibri"/>
      <family val="2"/>
    </font>
    <font>
      <b/>
      <sz val="12"/>
      <color rgb="FF002060"/>
      <name val="Calibri"/>
      <family val="2"/>
    </font>
    <font>
      <b/>
      <sz val="13"/>
      <name val="Calibri"/>
      <family val="2"/>
    </font>
    <font>
      <b/>
      <sz val="16"/>
      <color rgb="FFC00000"/>
      <name val="Calibri"/>
      <family val="2"/>
    </font>
    <font>
      <sz val="13"/>
      <color rgb="FF002060"/>
      <name val="Calibri"/>
      <family val="2"/>
    </font>
    <font>
      <b/>
      <sz val="13"/>
      <color rgb="FF002060"/>
      <name val="Calibri"/>
      <family val="2"/>
    </font>
    <font>
      <vertAlign val="subscript"/>
      <sz val="14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sz val="8"/>
      <color theme="1"/>
      <name val="Calibri"/>
      <family val="2"/>
    </font>
    <font>
      <vertAlign val="subscript"/>
      <sz val="11"/>
      <color theme="1"/>
      <name val="Calibri"/>
      <family val="2"/>
    </font>
    <font>
      <sz val="14"/>
      <color rgb="FF002060"/>
      <name val="Calibri"/>
      <family val="2"/>
    </font>
    <font>
      <sz val="6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2"/>
      <name val="Times New Roman"/>
      <family val="1"/>
    </font>
    <font>
      <b/>
      <sz val="9"/>
      <color rgb="FFC00000"/>
      <name val="Times New Roman"/>
      <family val="1"/>
    </font>
    <font>
      <sz val="16"/>
      <color theme="1"/>
      <name val="Calibri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vertAlign val="subscript"/>
      <sz val="14"/>
      <name val="Calibri"/>
      <family val="2"/>
      <scheme val="minor"/>
    </font>
    <font>
      <sz val="14"/>
      <name val="Calibri"/>
      <family val="2"/>
    </font>
    <font>
      <vertAlign val="subscript"/>
      <sz val="14"/>
      <name val="Calibri"/>
      <family val="2"/>
    </font>
    <font>
      <b/>
      <sz val="14"/>
      <color indexed="12"/>
      <name val="Calibri"/>
      <family val="2"/>
    </font>
    <font>
      <sz val="12"/>
      <color theme="1"/>
      <name val="Times New Roman"/>
      <family val="1"/>
    </font>
    <font>
      <i/>
      <sz val="14"/>
      <color theme="1"/>
      <name val="Calibri"/>
      <family val="2"/>
      <scheme val="minor"/>
    </font>
    <font>
      <i/>
      <vertAlign val="superscript"/>
      <sz val="14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vertAlign val="subscript"/>
      <sz val="14"/>
      <color theme="1"/>
      <name val="Calibri"/>
      <family val="2"/>
    </font>
    <font>
      <vertAlign val="superscript"/>
      <sz val="12"/>
      <color theme="1"/>
      <name val="Calibri"/>
      <family val="2"/>
    </font>
    <font>
      <vertAlign val="superscript"/>
      <sz val="12"/>
      <name val="Calibri"/>
      <family val="2"/>
    </font>
    <font>
      <b/>
      <i/>
      <sz val="16"/>
      <color theme="1"/>
      <name val="Calibri"/>
      <family val="2"/>
    </font>
    <font>
      <sz val="14"/>
      <color theme="1"/>
      <name val="Times New Roman"/>
      <family val="1"/>
    </font>
    <font>
      <b/>
      <i/>
      <sz val="16"/>
      <color theme="1"/>
      <name val="Calibri"/>
      <family val="2"/>
      <scheme val="minor"/>
    </font>
    <font>
      <vertAlign val="subscript"/>
      <sz val="14"/>
      <color theme="1"/>
      <name val="Calibri"/>
      <family val="2"/>
    </font>
    <font>
      <b/>
      <vertAlign val="superscript"/>
      <sz val="14"/>
      <color rgb="FF002060"/>
      <name val="Calibri"/>
      <family val="2"/>
    </font>
    <font>
      <b/>
      <i/>
      <vertAlign val="subscript"/>
      <sz val="16"/>
      <color theme="1"/>
      <name val="Calibri"/>
      <family val="2"/>
    </font>
    <font>
      <b/>
      <i/>
      <vertAlign val="subscript"/>
      <sz val="16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</font>
    <font>
      <sz val="11"/>
      <color theme="1"/>
      <name val="Times New Roman"/>
      <family val="1"/>
    </font>
    <font>
      <vertAlign val="superscript"/>
      <sz val="14"/>
      <color theme="1"/>
      <name val="Times New Roman"/>
      <family val="1"/>
    </font>
    <font>
      <b/>
      <vertAlign val="superscript"/>
      <sz val="14"/>
      <color theme="1"/>
      <name val="Calibri"/>
      <family val="2"/>
      <scheme val="minor"/>
    </font>
    <font>
      <b/>
      <vertAlign val="subscript"/>
      <sz val="14"/>
      <color rgb="FF002060"/>
      <name val="Calibri"/>
      <family val="2"/>
    </font>
    <font>
      <vertAlign val="superscript"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vertAlign val="subscript"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2"/>
      <color theme="1"/>
      <name val="Calibri"/>
      <family val="2"/>
    </font>
    <font>
      <b/>
      <sz val="18"/>
      <name val="Calibri"/>
      <family val="2"/>
    </font>
    <font>
      <b/>
      <sz val="17"/>
      <color theme="1"/>
      <name val="Calibri"/>
      <family val="2"/>
    </font>
    <font>
      <sz val="10"/>
      <name val="Arial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5"/>
      <name val="Calibri"/>
      <family val="2"/>
      <scheme val="minor"/>
    </font>
    <font>
      <sz val="18"/>
      <name val="Calibri"/>
      <family val="2"/>
      <scheme val="minor"/>
    </font>
    <font>
      <sz val="11"/>
      <color rgb="FFC00000"/>
      <name val="Lucida Sans"/>
      <family val="2"/>
    </font>
    <font>
      <b/>
      <sz val="14"/>
      <color rgb="FFC00000"/>
      <name val="Lucida Sans"/>
      <family val="2"/>
    </font>
    <font>
      <sz val="11"/>
      <color theme="1"/>
      <name val="Aharoni"/>
      <charset val="177"/>
    </font>
    <font>
      <sz val="12"/>
      <color theme="1"/>
      <name val="Lucida Sans"/>
      <family val="2"/>
    </font>
    <font>
      <b/>
      <sz val="12"/>
      <color theme="1"/>
      <name val="Lucida Sans"/>
      <family val="2"/>
    </font>
    <font>
      <sz val="12"/>
      <color theme="3"/>
      <name val="Lucida Sans"/>
      <family val="2"/>
    </font>
    <font>
      <sz val="12"/>
      <color theme="3"/>
      <name val="Calibri"/>
      <family val="2"/>
    </font>
    <font>
      <sz val="11"/>
      <color theme="3"/>
      <name val="Lucida Sans"/>
      <family val="2"/>
    </font>
    <font>
      <sz val="11"/>
      <color theme="1"/>
      <name val="Lucida Sans"/>
      <family val="2"/>
    </font>
    <font>
      <b/>
      <sz val="12"/>
      <color indexed="10"/>
      <name val="Calibri"/>
      <family val="2"/>
    </font>
    <font>
      <sz val="12"/>
      <color indexed="10"/>
      <name val="Calibri"/>
      <family val="2"/>
    </font>
    <font>
      <b/>
      <sz val="12"/>
      <color theme="3"/>
      <name val="Calibri"/>
      <family val="2"/>
    </font>
    <font>
      <b/>
      <sz val="12"/>
      <color rgb="FF002060"/>
      <name val="Times New Roman"/>
      <family val="1"/>
    </font>
    <font>
      <b/>
      <sz val="11"/>
      <color rgb="FFC00000"/>
      <name val="Lucida Sans"/>
      <family val="2"/>
    </font>
    <font>
      <b/>
      <sz val="12"/>
      <color rgb="FFC00000"/>
      <name val="Lucida Sans"/>
      <family val="2"/>
    </font>
  </fonts>
  <fills count="4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5F4F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2"/>
        <bgColor indexed="64"/>
      </patternFill>
    </fill>
    <fill>
      <patternFill patternType="gray0625"/>
    </fill>
    <fill>
      <patternFill patternType="gray0625">
        <bgColor theme="2"/>
      </patternFill>
    </fill>
    <fill>
      <patternFill patternType="solid">
        <fgColor rgb="FFFFFFCC"/>
        <bgColor indexed="8"/>
      </patternFill>
    </fill>
    <fill>
      <patternFill patternType="gray0625">
        <bgColor rgb="FFE7EDF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5F9"/>
        <bgColor indexed="64"/>
      </patternFill>
    </fill>
    <fill>
      <patternFill patternType="gray0625">
        <bgColor rgb="FFFFD347"/>
      </patternFill>
    </fill>
    <fill>
      <patternFill patternType="solid">
        <fgColor rgb="FFF7F5F9"/>
        <bgColor indexed="8"/>
      </patternFill>
    </fill>
    <fill>
      <patternFill patternType="gray0625">
        <bgColor theme="7" tint="0.79998168889431442"/>
      </patternFill>
    </fill>
    <fill>
      <patternFill patternType="gray0625">
        <fgColor indexed="8"/>
        <bgColor rgb="FFE7EDF5"/>
      </patternFill>
    </fill>
    <fill>
      <patternFill patternType="gray0625">
        <bgColor rgb="FFFFFF00"/>
      </patternFill>
    </fill>
    <fill>
      <patternFill patternType="gray0625">
        <bgColor theme="0"/>
      </patternFill>
    </fill>
    <fill>
      <patternFill patternType="solid">
        <fgColor rgb="FFDED9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7EDF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AC9AC2"/>
        <bgColor indexed="64"/>
      </patternFill>
    </fill>
  </fills>
  <borders count="3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rgb="FFC00000"/>
      </left>
      <right/>
      <top style="thick">
        <color rgb="FFC00000"/>
      </top>
      <bottom style="thin">
        <color indexed="64"/>
      </bottom>
      <diagonal/>
    </border>
    <border>
      <left/>
      <right/>
      <top style="thick">
        <color rgb="FFC00000"/>
      </top>
      <bottom style="thin">
        <color indexed="64"/>
      </bottom>
      <diagonal/>
    </border>
    <border>
      <left/>
      <right style="thick">
        <color rgb="FFC00000"/>
      </right>
      <top style="thick">
        <color rgb="FFC00000"/>
      </top>
      <bottom style="thin">
        <color indexed="64"/>
      </bottom>
      <diagonal/>
    </border>
    <border>
      <left style="thick">
        <color rgb="FFC0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C00000"/>
      </right>
      <top/>
      <bottom/>
      <diagonal/>
    </border>
    <border>
      <left/>
      <right style="thick">
        <color rgb="FFC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n">
        <color indexed="64"/>
      </bottom>
      <diagonal/>
    </border>
    <border>
      <left style="thick">
        <color rgb="FFC00000"/>
      </left>
      <right style="thick">
        <color rgb="FFC00000"/>
      </right>
      <top style="thin">
        <color indexed="64"/>
      </top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rgb="FFC00000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ck">
        <color rgb="FFC00000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/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C00000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hair">
        <color indexed="64"/>
      </bottom>
      <diagonal/>
    </border>
    <border>
      <left style="thick">
        <color rgb="FFC00000"/>
      </left>
      <right style="thick">
        <color rgb="FFC00000"/>
      </right>
      <top style="hair">
        <color indexed="64"/>
      </top>
      <bottom style="hair">
        <color indexed="64"/>
      </bottom>
      <diagonal/>
    </border>
    <border>
      <left style="thick">
        <color rgb="FFC00000"/>
      </left>
      <right style="thick">
        <color rgb="FFC00000"/>
      </right>
      <top style="hair">
        <color indexed="64"/>
      </top>
      <bottom style="thick">
        <color rgb="FFC00000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rgb="FFC00000"/>
      </left>
      <right/>
      <top style="thin">
        <color indexed="64"/>
      </top>
      <bottom style="thick">
        <color rgb="FFC00000"/>
      </bottom>
      <diagonal/>
    </border>
    <border>
      <left/>
      <right style="thick">
        <color rgb="FFC00000"/>
      </right>
      <top style="thin">
        <color indexed="64"/>
      </top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indexed="64"/>
      </left>
      <right/>
      <top style="mediumDashed">
        <color indexed="64"/>
      </top>
      <bottom style="hair">
        <color indexed="64"/>
      </bottom>
      <diagonal/>
    </border>
    <border>
      <left/>
      <right/>
      <top style="mediumDashed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dashDot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DashDot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ashDot">
        <color indexed="64"/>
      </right>
      <top style="double">
        <color indexed="64"/>
      </top>
      <bottom/>
      <diagonal/>
    </border>
    <border>
      <left/>
      <right style="dashDot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ashDot">
        <color indexed="64"/>
      </left>
      <right style="hair">
        <color indexed="64"/>
      </right>
      <top/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ashDot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ashDot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ashDot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ashDot">
        <color indexed="64"/>
      </right>
      <top style="hair">
        <color indexed="64"/>
      </top>
      <bottom/>
      <diagonal/>
    </border>
    <border>
      <left style="dashDot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ashDot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ashDot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ashDot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ashDot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double">
        <color indexed="64"/>
      </top>
      <bottom style="hair">
        <color indexed="64"/>
      </bottom>
      <diagonal/>
    </border>
    <border>
      <left style="mediumDashed">
        <color indexed="64"/>
      </left>
      <right/>
      <top style="hair">
        <color indexed="64"/>
      </top>
      <bottom/>
      <diagonal/>
    </border>
    <border>
      <left style="mediumDash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thin">
        <color indexed="64"/>
      </top>
      <bottom style="hair">
        <color indexed="64"/>
      </bottom>
      <diagonal/>
    </border>
    <border>
      <left style="mediumDashed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 style="hair">
        <color indexed="64"/>
      </top>
      <bottom/>
      <diagonal/>
    </border>
    <border>
      <left style="mediumDashed">
        <color indexed="64"/>
      </left>
      <right/>
      <top/>
      <bottom style="medium">
        <color indexed="60"/>
      </bottom>
      <diagonal/>
    </border>
    <border>
      <left/>
      <right/>
      <top/>
      <bottom style="medium">
        <color indexed="60"/>
      </bottom>
      <diagonal/>
    </border>
    <border>
      <left/>
      <right style="hair">
        <color indexed="64"/>
      </right>
      <top/>
      <bottom style="medium">
        <color indexed="60"/>
      </bottom>
      <diagonal/>
    </border>
    <border>
      <left style="hair">
        <color indexed="64"/>
      </left>
      <right style="hair">
        <color indexed="64"/>
      </right>
      <top style="medium">
        <color indexed="60"/>
      </top>
      <bottom style="hair">
        <color indexed="64"/>
      </bottom>
      <diagonal/>
    </border>
    <border>
      <left/>
      <right/>
      <top style="medium">
        <color indexed="60"/>
      </top>
      <bottom/>
      <diagonal/>
    </border>
    <border>
      <left style="double">
        <color indexed="64"/>
      </left>
      <right style="hair">
        <color indexed="64"/>
      </right>
      <top style="medium">
        <color indexed="60"/>
      </top>
      <bottom style="hair">
        <color indexed="64"/>
      </bottom>
      <diagonal/>
    </border>
    <border>
      <left style="hair">
        <color indexed="64"/>
      </left>
      <right/>
      <top style="medium">
        <color indexed="60"/>
      </top>
      <bottom style="hair">
        <color indexed="64"/>
      </bottom>
      <diagonal/>
    </border>
    <border>
      <left style="dashDot">
        <color indexed="64"/>
      </left>
      <right style="hair">
        <color indexed="64"/>
      </right>
      <top style="medium">
        <color indexed="60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medium">
        <color indexed="60"/>
      </top>
      <bottom style="hair">
        <color indexed="64"/>
      </bottom>
      <diagonal/>
    </border>
    <border>
      <left style="hair">
        <color indexed="64"/>
      </left>
      <right style="dashDot">
        <color indexed="64"/>
      </right>
      <top style="medium">
        <color indexed="60"/>
      </top>
      <bottom style="hair">
        <color indexed="64"/>
      </bottom>
      <diagonal/>
    </border>
    <border>
      <left/>
      <right style="hair">
        <color indexed="64"/>
      </right>
      <top style="medium">
        <color indexed="60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medium">
        <color indexed="60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0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dashDot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ashDot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DashDot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DashDot">
        <color auto="1"/>
      </right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double">
        <color auto="1"/>
      </right>
      <top style="mediumDashed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mediumDashDot">
        <color auto="1"/>
      </right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double">
        <color auto="1"/>
      </right>
      <top/>
      <bottom style="mediumDashed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 style="mediumDashDot">
        <color auto="1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auto="1"/>
      </left>
      <right/>
      <top style="hair">
        <color auto="1"/>
      </top>
      <bottom style="hair">
        <color auto="1"/>
      </bottom>
      <diagonal/>
    </border>
    <border>
      <left/>
      <right style="mediumDashDot">
        <color auto="1"/>
      </right>
      <top style="hair">
        <color auto="1"/>
      </top>
      <bottom style="hair">
        <color auto="1"/>
      </bottom>
      <diagonal/>
    </border>
    <border>
      <left style="mediumDashDot">
        <color auto="1"/>
      </left>
      <right style="mediumDashDot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mediumDashed">
        <color auto="1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/>
      <bottom style="mediumDashed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Dot">
        <color auto="1"/>
      </right>
      <top style="double">
        <color auto="1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DashDot">
        <color auto="1"/>
      </right>
      <top/>
      <bottom style="double">
        <color auto="1"/>
      </bottom>
      <diagonal/>
    </border>
    <border>
      <left/>
      <right style="mediumDashed">
        <color auto="1"/>
      </right>
      <top/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4" fillId="0" borderId="0"/>
    <xf numFmtId="41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7" fillId="0" borderId="0"/>
    <xf numFmtId="0" fontId="10" fillId="0" borderId="0"/>
    <xf numFmtId="0" fontId="7" fillId="0" borderId="0"/>
    <xf numFmtId="0" fontId="6" fillId="0" borderId="0"/>
    <xf numFmtId="0" fontId="6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5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11" fillId="0" borderId="0">
      <alignment vertical="center"/>
    </xf>
    <xf numFmtId="0" fontId="4" fillId="0" borderId="0"/>
    <xf numFmtId="0" fontId="4" fillId="0" borderId="0"/>
    <xf numFmtId="0" fontId="4" fillId="0" borderId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20" fillId="0" borderId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00" fillId="0" borderId="0"/>
  </cellStyleXfs>
  <cellXfs count="2046">
    <xf numFmtId="0" fontId="0" fillId="0" borderId="0" xfId="0"/>
    <xf numFmtId="166" fontId="0" fillId="5" borderId="22" xfId="0" applyNumberFormat="1" applyFont="1" applyFill="1" applyBorder="1" applyAlignment="1">
      <alignment horizontal="center" vertical="center"/>
    </xf>
    <xf numFmtId="167" fontId="18" fillId="5" borderId="0" xfId="0" applyNumberFormat="1" applyFont="1" applyFill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8" fillId="5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5" borderId="0" xfId="0" applyFont="1" applyFill="1" applyAlignment="1">
      <alignment horizontal="center" vertical="center"/>
    </xf>
    <xf numFmtId="0" fontId="15" fillId="5" borderId="0" xfId="0" applyFont="1" applyFill="1" applyBorder="1" applyAlignment="1">
      <alignment vertical="center"/>
    </xf>
    <xf numFmtId="167" fontId="15" fillId="5" borderId="0" xfId="0" applyNumberFormat="1" applyFont="1" applyFill="1" applyBorder="1" applyAlignment="1">
      <alignment horizontal="center" vertical="center"/>
    </xf>
    <xf numFmtId="167" fontId="18" fillId="5" borderId="0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3" fontId="30" fillId="5" borderId="0" xfId="0" applyNumberFormat="1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left" vertical="center" indent="1"/>
    </xf>
    <xf numFmtId="2" fontId="18" fillId="5" borderId="0" xfId="0" applyNumberFormat="1" applyFont="1" applyFill="1" applyBorder="1" applyAlignment="1">
      <alignment horizontal="center" vertical="center"/>
    </xf>
    <xf numFmtId="166" fontId="21" fillId="5" borderId="0" xfId="38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165" fontId="18" fillId="5" borderId="0" xfId="0" applyNumberFormat="1" applyFont="1" applyFill="1" applyBorder="1" applyAlignment="1">
      <alignment horizontal="center" vertical="center"/>
    </xf>
    <xf numFmtId="167" fontId="21" fillId="5" borderId="0" xfId="37" applyNumberFormat="1" applyFont="1" applyFill="1" applyBorder="1" applyAlignment="1">
      <alignment horizontal="center" vertical="center"/>
    </xf>
    <xf numFmtId="166" fontId="21" fillId="5" borderId="0" xfId="37" applyNumberFormat="1" applyFont="1" applyFill="1" applyBorder="1" applyAlignment="1">
      <alignment horizontal="center" vertical="center"/>
    </xf>
    <xf numFmtId="1" fontId="21" fillId="5" borderId="0" xfId="37" applyNumberFormat="1" applyFont="1" applyFill="1" applyBorder="1" applyAlignment="1">
      <alignment horizontal="center" vertical="center"/>
    </xf>
    <xf numFmtId="168" fontId="21" fillId="5" borderId="0" xfId="37" applyNumberFormat="1" applyFont="1" applyFill="1" applyBorder="1" applyAlignment="1">
      <alignment horizontal="center" vertical="center"/>
    </xf>
    <xf numFmtId="167" fontId="21" fillId="5" borderId="0" xfId="38" applyNumberFormat="1" applyFont="1" applyFill="1" applyBorder="1" applyAlignment="1">
      <alignment horizontal="center" vertical="center"/>
    </xf>
    <xf numFmtId="3" fontId="30" fillId="5" borderId="0" xfId="0" applyNumberFormat="1" applyFont="1" applyFill="1" applyBorder="1" applyAlignment="1">
      <alignment horizontal="left" vertical="center" indent="1"/>
    </xf>
    <xf numFmtId="0" fontId="0" fillId="5" borderId="0" xfId="0" applyFont="1" applyFill="1" applyBorder="1" applyAlignment="1">
      <alignment horizontal="left" vertical="center" indent="1"/>
    </xf>
    <xf numFmtId="3" fontId="13" fillId="5" borderId="15" xfId="0" applyNumberFormat="1" applyFont="1" applyFill="1" applyBorder="1" applyAlignment="1">
      <alignment horizontal="center" vertical="center"/>
    </xf>
    <xf numFmtId="3" fontId="0" fillId="5" borderId="15" xfId="0" applyNumberFormat="1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3" fontId="0" fillId="5" borderId="22" xfId="0" applyNumberFormat="1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center" vertical="center"/>
    </xf>
    <xf numFmtId="0" fontId="30" fillId="5" borderId="0" xfId="0" applyFont="1" applyFill="1" applyAlignment="1">
      <alignment horizontal="left" vertical="center" indent="1"/>
    </xf>
    <xf numFmtId="0" fontId="30" fillId="5" borderId="0" xfId="0" applyFont="1" applyFill="1" applyAlignment="1">
      <alignment horizontal="center" vertical="center"/>
    </xf>
    <xf numFmtId="167" fontId="18" fillId="5" borderId="15" xfId="0" applyNumberFormat="1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30" fillId="5" borderId="15" xfId="0" applyFont="1" applyFill="1" applyBorder="1" applyAlignment="1">
      <alignment horizontal="center" vertical="center"/>
    </xf>
    <xf numFmtId="3" fontId="30" fillId="5" borderId="15" xfId="0" applyNumberFormat="1" applyFont="1" applyFill="1" applyBorder="1" applyAlignment="1">
      <alignment horizontal="center" vertical="center"/>
    </xf>
    <xf numFmtId="0" fontId="30" fillId="5" borderId="15" xfId="0" applyFont="1" applyFill="1" applyBorder="1" applyAlignment="1">
      <alignment horizontal="left" vertical="center" indent="1"/>
    </xf>
    <xf numFmtId="2" fontId="18" fillId="5" borderId="15" xfId="0" applyNumberFormat="1" applyFont="1" applyFill="1" applyBorder="1" applyAlignment="1">
      <alignment horizontal="center" vertical="center"/>
    </xf>
    <xf numFmtId="166" fontId="21" fillId="5" borderId="15" xfId="38" applyNumberFormat="1" applyFont="1" applyFill="1" applyBorder="1" applyAlignment="1">
      <alignment horizontal="center" vertical="center"/>
    </xf>
    <xf numFmtId="167" fontId="21" fillId="5" borderId="15" xfId="37" applyNumberFormat="1" applyFont="1" applyFill="1" applyBorder="1" applyAlignment="1">
      <alignment horizontal="center" vertical="center"/>
    </xf>
    <xf numFmtId="166" fontId="21" fillId="5" borderId="15" xfId="37" applyNumberFormat="1" applyFont="1" applyFill="1" applyBorder="1" applyAlignment="1">
      <alignment horizontal="center" vertical="center"/>
    </xf>
    <xf numFmtId="1" fontId="21" fillId="5" borderId="15" xfId="37" applyNumberFormat="1" applyFont="1" applyFill="1" applyBorder="1" applyAlignment="1">
      <alignment horizontal="center" vertical="center"/>
    </xf>
    <xf numFmtId="168" fontId="21" fillId="5" borderId="15" xfId="37" applyNumberFormat="1" applyFont="1" applyFill="1" applyBorder="1" applyAlignment="1">
      <alignment horizontal="center" vertical="center"/>
    </xf>
    <xf numFmtId="167" fontId="21" fillId="5" borderId="15" xfId="38" applyNumberFormat="1" applyFont="1" applyFill="1" applyBorder="1" applyAlignment="1">
      <alignment horizontal="center" vertical="center"/>
    </xf>
    <xf numFmtId="3" fontId="30" fillId="5" borderId="15" xfId="0" applyNumberFormat="1" applyFont="1" applyFill="1" applyBorder="1" applyAlignment="1">
      <alignment horizontal="left" vertical="center" indent="1"/>
    </xf>
    <xf numFmtId="3" fontId="30" fillId="5" borderId="35" xfId="0" applyNumberFormat="1" applyFont="1" applyFill="1" applyBorder="1" applyAlignment="1">
      <alignment horizontal="center" vertical="center"/>
    </xf>
    <xf numFmtId="2" fontId="18" fillId="5" borderId="35" xfId="0" applyNumberFormat="1" applyFont="1" applyFill="1" applyBorder="1" applyAlignment="1">
      <alignment horizontal="center" vertical="center"/>
    </xf>
    <xf numFmtId="167" fontId="18" fillId="5" borderId="35" xfId="0" applyNumberFormat="1" applyFont="1" applyFill="1" applyBorder="1" applyAlignment="1">
      <alignment horizontal="center" vertical="center"/>
    </xf>
    <xf numFmtId="167" fontId="21" fillId="5" borderId="35" xfId="37" applyNumberFormat="1" applyFont="1" applyFill="1" applyBorder="1" applyAlignment="1">
      <alignment horizontal="center" vertical="center"/>
    </xf>
    <xf numFmtId="166" fontId="21" fillId="5" borderId="35" xfId="37" applyNumberFormat="1" applyFont="1" applyFill="1" applyBorder="1" applyAlignment="1">
      <alignment horizontal="center" vertical="center"/>
    </xf>
    <xf numFmtId="1" fontId="21" fillId="5" borderId="35" xfId="37" applyNumberFormat="1" applyFont="1" applyFill="1" applyBorder="1" applyAlignment="1">
      <alignment horizontal="center" vertical="center"/>
    </xf>
    <xf numFmtId="168" fontId="21" fillId="5" borderId="35" xfId="37" applyNumberFormat="1" applyFont="1" applyFill="1" applyBorder="1" applyAlignment="1">
      <alignment horizontal="center" vertical="center"/>
    </xf>
    <xf numFmtId="0" fontId="18" fillId="5" borderId="35" xfId="0" applyFont="1" applyFill="1" applyBorder="1" applyAlignment="1">
      <alignment horizontal="center" vertical="center"/>
    </xf>
    <xf numFmtId="167" fontId="21" fillId="5" borderId="35" xfId="38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vertical="center"/>
    </xf>
    <xf numFmtId="165" fontId="21" fillId="5" borderId="0" xfId="38" applyNumberFormat="1" applyFont="1" applyFill="1" applyBorder="1" applyAlignment="1">
      <alignment horizontal="center" vertical="center"/>
    </xf>
    <xf numFmtId="165" fontId="21" fillId="5" borderId="15" xfId="38" applyNumberFormat="1" applyFont="1" applyFill="1" applyBorder="1" applyAlignment="1">
      <alignment horizontal="center" vertical="center"/>
    </xf>
    <xf numFmtId="3" fontId="13" fillId="5" borderId="0" xfId="0" applyNumberFormat="1" applyFont="1" applyFill="1" applyBorder="1" applyAlignment="1">
      <alignment horizontal="center" vertical="center"/>
    </xf>
    <xf numFmtId="165" fontId="18" fillId="5" borderId="0" xfId="0" applyNumberFormat="1" applyFont="1" applyFill="1" applyAlignment="1">
      <alignment horizontal="center" vertical="center"/>
    </xf>
    <xf numFmtId="0" fontId="30" fillId="5" borderId="35" xfId="0" applyFont="1" applyFill="1" applyBorder="1" applyAlignment="1">
      <alignment horizontal="left" vertical="center" indent="1"/>
    </xf>
    <xf numFmtId="0" fontId="18" fillId="5" borderId="0" xfId="0" applyFont="1" applyFill="1" applyBorder="1" applyAlignment="1">
      <alignment horizontal="left" vertical="center" indent="1"/>
    </xf>
    <xf numFmtId="167" fontId="21" fillId="5" borderId="0" xfId="38" applyNumberFormat="1" applyFont="1" applyFill="1" applyBorder="1" applyAlignment="1">
      <alignment horizontal="left" vertical="center" indent="1"/>
    </xf>
    <xf numFmtId="167" fontId="15" fillId="5" borderId="0" xfId="0" applyNumberFormat="1" applyFont="1" applyFill="1" applyBorder="1" applyAlignment="1">
      <alignment horizontal="left" vertical="center" indent="1"/>
    </xf>
    <xf numFmtId="3" fontId="18" fillId="5" borderId="0" xfId="0" applyNumberFormat="1" applyFont="1" applyFill="1" applyBorder="1" applyAlignment="1">
      <alignment horizontal="center" vertical="center"/>
    </xf>
    <xf numFmtId="3" fontId="30" fillId="5" borderId="35" xfId="0" applyNumberFormat="1" applyFont="1" applyFill="1" applyBorder="1" applyAlignment="1">
      <alignment horizontal="left" vertical="center" indent="1"/>
    </xf>
    <xf numFmtId="3" fontId="32" fillId="5" borderId="0" xfId="0" applyNumberFormat="1" applyFont="1" applyFill="1" applyBorder="1" applyAlignment="1">
      <alignment horizontal="left" vertical="center" indent="1"/>
    </xf>
    <xf numFmtId="165" fontId="21" fillId="5" borderId="35" xfId="38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horizontal="left" vertical="center" indent="1"/>
    </xf>
    <xf numFmtId="0" fontId="19" fillId="6" borderId="57" xfId="0" applyFont="1" applyFill="1" applyBorder="1" applyAlignment="1">
      <alignment horizontal="center" vertical="center"/>
    </xf>
    <xf numFmtId="2" fontId="19" fillId="6" borderId="57" xfId="0" applyNumberFormat="1" applyFont="1" applyFill="1" applyBorder="1" applyAlignment="1">
      <alignment horizontal="center" vertical="center"/>
    </xf>
    <xf numFmtId="167" fontId="19" fillId="6" borderId="57" xfId="0" applyNumberFormat="1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166" fontId="21" fillId="6" borderId="15" xfId="38" applyNumberFormat="1" applyFont="1" applyFill="1" applyBorder="1" applyAlignment="1">
      <alignment horizontal="center" vertical="center"/>
    </xf>
    <xf numFmtId="166" fontId="21" fillId="6" borderId="26" xfId="38" applyNumberFormat="1" applyFont="1" applyFill="1" applyBorder="1" applyAlignment="1">
      <alignment horizontal="center" vertical="center"/>
    </xf>
    <xf numFmtId="0" fontId="33" fillId="5" borderId="0" xfId="0" applyFont="1" applyFill="1" applyAlignment="1">
      <alignment horizontal="left" vertical="center" indent="1"/>
    </xf>
    <xf numFmtId="0" fontId="0" fillId="5" borderId="0" xfId="0" applyFont="1" applyFill="1" applyBorder="1" applyAlignment="1">
      <alignment vertical="center"/>
    </xf>
    <xf numFmtId="167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left" vertical="center"/>
    </xf>
    <xf numFmtId="2" fontId="21" fillId="5" borderId="35" xfId="37" applyNumberFormat="1" applyFont="1" applyFill="1" applyBorder="1" applyAlignment="1">
      <alignment horizontal="center" vertical="center"/>
    </xf>
    <xf numFmtId="3" fontId="30" fillId="5" borderId="16" xfId="0" applyNumberFormat="1" applyFont="1" applyFill="1" applyBorder="1" applyAlignment="1">
      <alignment horizontal="center" vertical="center"/>
    </xf>
    <xf numFmtId="166" fontId="18" fillId="5" borderId="35" xfId="0" applyNumberFormat="1" applyFont="1" applyFill="1" applyBorder="1" applyAlignment="1">
      <alignment horizontal="center" vertical="center"/>
    </xf>
    <xf numFmtId="3" fontId="29" fillId="6" borderId="70" xfId="0" applyNumberFormat="1" applyFont="1" applyFill="1" applyBorder="1" applyAlignment="1">
      <alignment horizontal="center" vertical="center"/>
    </xf>
    <xf numFmtId="3" fontId="29" fillId="6" borderId="57" xfId="0" applyNumberFormat="1" applyFont="1" applyFill="1" applyBorder="1" applyAlignment="1">
      <alignment horizontal="center" vertical="center"/>
    </xf>
    <xf numFmtId="165" fontId="19" fillId="6" borderId="57" xfId="0" applyNumberFormat="1" applyFont="1" applyFill="1" applyBorder="1" applyAlignment="1">
      <alignment horizontal="center" vertical="center"/>
    </xf>
    <xf numFmtId="0" fontId="30" fillId="5" borderId="17" xfId="0" applyFont="1" applyFill="1" applyBorder="1" applyAlignment="1">
      <alignment horizontal="left" vertical="center" indent="1"/>
    </xf>
    <xf numFmtId="3" fontId="30" fillId="5" borderId="18" xfId="0" applyNumberFormat="1" applyFont="1" applyFill="1" applyBorder="1" applyAlignment="1">
      <alignment horizontal="center" vertical="center"/>
    </xf>
    <xf numFmtId="3" fontId="30" fillId="5" borderId="37" xfId="0" applyNumberFormat="1" applyFont="1" applyFill="1" applyBorder="1" applyAlignment="1">
      <alignment horizontal="center" vertical="center"/>
    </xf>
    <xf numFmtId="3" fontId="29" fillId="6" borderId="71" xfId="0" applyNumberFormat="1" applyFont="1" applyFill="1" applyBorder="1" applyAlignment="1">
      <alignment horizontal="left" vertical="center"/>
    </xf>
    <xf numFmtId="3" fontId="29" fillId="6" borderId="18" xfId="0" applyNumberFormat="1" applyFont="1" applyFill="1" applyBorder="1" applyAlignment="1">
      <alignment horizontal="center" vertical="center"/>
    </xf>
    <xf numFmtId="2" fontId="22" fillId="6" borderId="18" xfId="0" applyNumberFormat="1" applyFont="1" applyFill="1" applyBorder="1" applyAlignment="1">
      <alignment horizontal="left" vertical="center"/>
    </xf>
    <xf numFmtId="2" fontId="22" fillId="6" borderId="18" xfId="0" applyNumberFormat="1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167" fontId="22" fillId="6" borderId="18" xfId="0" applyNumberFormat="1" applyFont="1" applyFill="1" applyBorder="1" applyAlignment="1">
      <alignment horizontal="center" vertical="center"/>
    </xf>
    <xf numFmtId="165" fontId="22" fillId="6" borderId="18" xfId="0" applyNumberFormat="1" applyFont="1" applyFill="1" applyBorder="1" applyAlignment="1">
      <alignment horizontal="center" vertical="center"/>
    </xf>
    <xf numFmtId="0" fontId="22" fillId="6" borderId="30" xfId="0" applyFont="1" applyFill="1" applyBorder="1" applyAlignment="1">
      <alignment horizontal="center" vertical="center"/>
    </xf>
    <xf numFmtId="0" fontId="30" fillId="5" borderId="19" xfId="0" applyFont="1" applyFill="1" applyBorder="1" applyAlignment="1">
      <alignment horizontal="left" vertical="center" indent="1"/>
    </xf>
    <xf numFmtId="0" fontId="19" fillId="6" borderId="66" xfId="0" applyFont="1" applyFill="1" applyBorder="1" applyAlignment="1">
      <alignment horizontal="center" vertical="center"/>
    </xf>
    <xf numFmtId="0" fontId="29" fillId="5" borderId="19" xfId="0" applyFont="1" applyFill="1" applyBorder="1" applyAlignment="1">
      <alignment horizontal="left" vertical="center" indent="1"/>
    </xf>
    <xf numFmtId="167" fontId="21" fillId="5" borderId="42" xfId="38" applyNumberFormat="1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left" vertical="center" indent="1"/>
    </xf>
    <xf numFmtId="0" fontId="30" fillId="5" borderId="22" xfId="0" applyFont="1" applyFill="1" applyBorder="1" applyAlignment="1">
      <alignment horizontal="center" vertical="center"/>
    </xf>
    <xf numFmtId="3" fontId="30" fillId="5" borderId="22" xfId="0" applyNumberFormat="1" applyFont="1" applyFill="1" applyBorder="1" applyAlignment="1">
      <alignment horizontal="center" vertical="center"/>
    </xf>
    <xf numFmtId="2" fontId="18" fillId="5" borderId="22" xfId="0" applyNumberFormat="1" applyFont="1" applyFill="1" applyBorder="1" applyAlignment="1">
      <alignment horizontal="center" vertical="center"/>
    </xf>
    <xf numFmtId="168" fontId="30" fillId="5" borderId="22" xfId="0" applyNumberFormat="1" applyFont="1" applyFill="1" applyBorder="1" applyAlignment="1">
      <alignment horizontal="center" vertical="center"/>
    </xf>
    <xf numFmtId="169" fontId="30" fillId="5" borderId="22" xfId="0" applyNumberFormat="1" applyFont="1" applyFill="1" applyBorder="1" applyAlignment="1">
      <alignment horizontal="center" vertical="center"/>
    </xf>
    <xf numFmtId="2" fontId="30" fillId="5" borderId="22" xfId="0" applyNumberFormat="1" applyFont="1" applyFill="1" applyBorder="1" applyAlignment="1">
      <alignment horizontal="center" vertical="center"/>
    </xf>
    <xf numFmtId="166" fontId="30" fillId="5" borderId="22" xfId="0" applyNumberFormat="1" applyFont="1" applyFill="1" applyBorder="1" applyAlignment="1">
      <alignment horizontal="center" vertical="center"/>
    </xf>
    <xf numFmtId="165" fontId="30" fillId="5" borderId="22" xfId="0" applyNumberFormat="1" applyFont="1" applyFill="1" applyBorder="1" applyAlignment="1">
      <alignment horizontal="center" vertical="center"/>
    </xf>
    <xf numFmtId="167" fontId="30" fillId="5" borderId="22" xfId="0" applyNumberFormat="1" applyFont="1" applyFill="1" applyBorder="1" applyAlignment="1">
      <alignment horizontal="center" vertical="center"/>
    </xf>
    <xf numFmtId="167" fontId="30" fillId="5" borderId="4" xfId="0" applyNumberFormat="1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left" vertical="center" indent="2"/>
    </xf>
    <xf numFmtId="3" fontId="30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167" fontId="0" fillId="3" borderId="1" xfId="0" applyNumberFormat="1" applyFont="1" applyFill="1" applyBorder="1" applyAlignment="1">
      <alignment horizontal="center" vertical="center"/>
    </xf>
    <xf numFmtId="3" fontId="18" fillId="3" borderId="31" xfId="0" applyNumberFormat="1" applyFont="1" applyFill="1" applyBorder="1" applyAlignment="1">
      <alignment horizontal="center" vertical="center"/>
    </xf>
    <xf numFmtId="3" fontId="21" fillId="3" borderId="31" xfId="37" applyNumberFormat="1" applyFont="1" applyFill="1" applyBorder="1" applyAlignment="1">
      <alignment horizontal="center" vertical="center"/>
    </xf>
    <xf numFmtId="2" fontId="21" fillId="3" borderId="31" xfId="38" applyNumberFormat="1" applyFont="1" applyFill="1" applyBorder="1" applyAlignment="1">
      <alignment horizontal="center" vertical="center"/>
    </xf>
    <xf numFmtId="165" fontId="21" fillId="3" borderId="31" xfId="37" applyNumberFormat="1" applyFont="1" applyFill="1" applyBorder="1" applyAlignment="1">
      <alignment horizontal="center" vertical="center"/>
    </xf>
    <xf numFmtId="0" fontId="32" fillId="5" borderId="34" xfId="0" applyFont="1" applyFill="1" applyBorder="1" applyAlignment="1">
      <alignment horizontal="left" vertical="center" indent="1"/>
    </xf>
    <xf numFmtId="0" fontId="32" fillId="5" borderId="21" xfId="0" applyFont="1" applyFill="1" applyBorder="1" applyAlignment="1">
      <alignment horizontal="left" vertical="center" indent="1"/>
    </xf>
    <xf numFmtId="0" fontId="30" fillId="5" borderId="22" xfId="0" applyFont="1" applyFill="1" applyBorder="1" applyAlignment="1">
      <alignment horizontal="left" vertical="center" indent="1"/>
    </xf>
    <xf numFmtId="3" fontId="30" fillId="5" borderId="22" xfId="0" applyNumberFormat="1" applyFont="1" applyFill="1" applyBorder="1" applyAlignment="1">
      <alignment horizontal="left" vertical="center" indent="1"/>
    </xf>
    <xf numFmtId="167" fontId="18" fillId="5" borderId="22" xfId="0" applyNumberFormat="1" applyFont="1" applyFill="1" applyBorder="1" applyAlignment="1">
      <alignment horizontal="center" vertical="center"/>
    </xf>
    <xf numFmtId="167" fontId="21" fillId="5" borderId="22" xfId="37" applyNumberFormat="1" applyFont="1" applyFill="1" applyBorder="1" applyAlignment="1">
      <alignment horizontal="center" vertical="center"/>
    </xf>
    <xf numFmtId="166" fontId="21" fillId="5" borderId="22" xfId="37" applyNumberFormat="1" applyFont="1" applyFill="1" applyBorder="1" applyAlignment="1">
      <alignment horizontal="center" vertical="center"/>
    </xf>
    <xf numFmtId="1" fontId="21" fillId="5" borderId="22" xfId="37" applyNumberFormat="1" applyFont="1" applyFill="1" applyBorder="1" applyAlignment="1">
      <alignment horizontal="center" vertical="center"/>
    </xf>
    <xf numFmtId="168" fontId="21" fillId="5" borderId="22" xfId="37" applyNumberFormat="1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165" fontId="21" fillId="5" borderId="22" xfId="38" applyNumberFormat="1" applyFont="1" applyFill="1" applyBorder="1" applyAlignment="1">
      <alignment horizontal="center" vertical="center"/>
    </xf>
    <xf numFmtId="167" fontId="21" fillId="5" borderId="22" xfId="38" applyNumberFormat="1" applyFont="1" applyFill="1" applyBorder="1" applyAlignment="1">
      <alignment horizontal="center" vertical="center"/>
    </xf>
    <xf numFmtId="167" fontId="21" fillId="5" borderId="4" xfId="38" applyNumberFormat="1" applyFont="1" applyFill="1" applyBorder="1" applyAlignment="1">
      <alignment horizontal="center" vertical="center"/>
    </xf>
    <xf numFmtId="0" fontId="32" fillId="5" borderId="19" xfId="0" applyFont="1" applyFill="1" applyBorder="1" applyAlignment="1">
      <alignment horizontal="left" vertical="center" indent="1"/>
    </xf>
    <xf numFmtId="167" fontId="21" fillId="5" borderId="26" xfId="38" applyNumberFormat="1" applyFont="1" applyFill="1" applyBorder="1" applyAlignment="1">
      <alignment horizontal="center" vertical="center"/>
    </xf>
    <xf numFmtId="3" fontId="32" fillId="5" borderId="19" xfId="0" applyNumberFormat="1" applyFont="1" applyFill="1" applyBorder="1" applyAlignment="1">
      <alignment horizontal="center" vertical="center"/>
    </xf>
    <xf numFmtId="3" fontId="32" fillId="5" borderId="21" xfId="0" applyNumberFormat="1" applyFont="1" applyFill="1" applyBorder="1" applyAlignment="1">
      <alignment horizontal="center" vertical="center"/>
    </xf>
    <xf numFmtId="167" fontId="23" fillId="5" borderId="22" xfId="38" applyNumberFormat="1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166" fontId="21" fillId="5" borderId="26" xfId="37" applyNumberFormat="1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166" fontId="21" fillId="5" borderId="22" xfId="38" applyNumberFormat="1" applyFont="1" applyFill="1" applyBorder="1" applyAlignment="1">
      <alignment horizontal="center" vertical="center"/>
    </xf>
    <xf numFmtId="166" fontId="21" fillId="5" borderId="73" xfId="37" applyNumberFormat="1" applyFont="1" applyFill="1" applyBorder="1" applyAlignment="1">
      <alignment horizontal="center" vertical="center"/>
    </xf>
    <xf numFmtId="166" fontId="21" fillId="5" borderId="74" xfId="37" applyNumberFormat="1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33" fillId="5" borderId="19" xfId="0" applyFont="1" applyFill="1" applyBorder="1" applyAlignment="1">
      <alignment horizontal="center" vertical="center"/>
    </xf>
    <xf numFmtId="0" fontId="33" fillId="5" borderId="21" xfId="0" applyFont="1" applyFill="1" applyBorder="1" applyAlignment="1">
      <alignment horizontal="center" vertical="center"/>
    </xf>
    <xf numFmtId="166" fontId="21" fillId="5" borderId="4" xfId="37" applyNumberFormat="1" applyFont="1" applyFill="1" applyBorder="1" applyAlignment="1">
      <alignment horizontal="center" vertical="center"/>
    </xf>
    <xf numFmtId="3" fontId="0" fillId="5" borderId="0" xfId="0" applyNumberFormat="1" applyFont="1" applyFill="1" applyBorder="1" applyAlignment="1">
      <alignment vertical="center"/>
    </xf>
    <xf numFmtId="166" fontId="0" fillId="5" borderId="0" xfId="0" applyNumberFormat="1" applyFont="1" applyFill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center" vertical="center"/>
    </xf>
    <xf numFmtId="3" fontId="0" fillId="5" borderId="0" xfId="0" applyNumberFormat="1" applyFont="1" applyFill="1" applyBorder="1" applyAlignment="1">
      <alignment horizontal="center" vertical="center"/>
    </xf>
    <xf numFmtId="166" fontId="0" fillId="5" borderId="15" xfId="0" applyNumberFormat="1" applyFont="1" applyFill="1" applyBorder="1" applyAlignment="1">
      <alignment horizontal="center" vertical="center"/>
    </xf>
    <xf numFmtId="3" fontId="0" fillId="3" borderId="31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3" fontId="0" fillId="6" borderId="15" xfId="0" applyNumberFormat="1" applyFont="1" applyFill="1" applyBorder="1" applyAlignment="1">
      <alignment horizontal="center" vertical="center"/>
    </xf>
    <xf numFmtId="166" fontId="0" fillId="6" borderId="15" xfId="0" applyNumberFormat="1" applyFont="1" applyFill="1" applyBorder="1" applyAlignment="1">
      <alignment horizontal="center" vertical="center"/>
    </xf>
    <xf numFmtId="165" fontId="0" fillId="6" borderId="15" xfId="0" applyNumberFormat="1" applyFont="1" applyFill="1" applyBorder="1" applyAlignment="1">
      <alignment horizontal="center" vertical="center"/>
    </xf>
    <xf numFmtId="0" fontId="22" fillId="6" borderId="15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left" vertical="center" indent="1"/>
    </xf>
    <xf numFmtId="3" fontId="18" fillId="6" borderId="18" xfId="0" applyNumberFormat="1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left" vertical="center" indent="2"/>
    </xf>
    <xf numFmtId="3" fontId="18" fillId="6" borderId="19" xfId="0" applyNumberFormat="1" applyFont="1" applyFill="1" applyBorder="1" applyAlignment="1">
      <alignment horizontal="left" vertical="center" indent="1"/>
    </xf>
    <xf numFmtId="0" fontId="18" fillId="6" borderId="17" xfId="0" applyFont="1" applyFill="1" applyBorder="1" applyAlignment="1">
      <alignment horizontal="center" vertical="center"/>
    </xf>
    <xf numFmtId="3" fontId="18" fillId="6" borderId="19" xfId="0" applyNumberFormat="1" applyFont="1" applyFill="1" applyBorder="1" applyAlignment="1">
      <alignment horizontal="center" vertical="center"/>
    </xf>
    <xf numFmtId="0" fontId="30" fillId="6" borderId="6" xfId="0" applyFont="1" applyFill="1" applyBorder="1" applyAlignment="1">
      <alignment horizontal="center" vertical="center"/>
    </xf>
    <xf numFmtId="3" fontId="18" fillId="6" borderId="18" xfId="0" applyNumberFormat="1" applyFont="1" applyFill="1" applyBorder="1" applyAlignment="1">
      <alignment horizontal="left" vertical="center"/>
    </xf>
    <xf numFmtId="2" fontId="18" fillId="6" borderId="18" xfId="0" applyNumberFormat="1" applyFont="1" applyFill="1" applyBorder="1" applyAlignment="1">
      <alignment horizontal="left" vertical="center"/>
    </xf>
    <xf numFmtId="2" fontId="18" fillId="6" borderId="18" xfId="0" applyNumberFormat="1" applyFont="1" applyFill="1" applyBorder="1" applyAlignment="1">
      <alignment horizontal="center" vertical="center"/>
    </xf>
    <xf numFmtId="167" fontId="18" fillId="6" borderId="18" xfId="0" applyNumberFormat="1" applyFont="1" applyFill="1" applyBorder="1" applyAlignment="1">
      <alignment horizontal="center" vertical="center"/>
    </xf>
    <xf numFmtId="3" fontId="18" fillId="6" borderId="72" xfId="0" applyNumberFormat="1" applyFont="1" applyFill="1" applyBorder="1" applyAlignment="1">
      <alignment horizontal="center" vertical="center"/>
    </xf>
    <xf numFmtId="0" fontId="18" fillId="6" borderId="57" xfId="0" applyFont="1" applyFill="1" applyBorder="1" applyAlignment="1">
      <alignment horizontal="center" vertical="center"/>
    </xf>
    <xf numFmtId="3" fontId="18" fillId="6" borderId="57" xfId="0" applyNumberFormat="1" applyFont="1" applyFill="1" applyBorder="1" applyAlignment="1">
      <alignment horizontal="center" vertical="center"/>
    </xf>
    <xf numFmtId="2" fontId="18" fillId="6" borderId="57" xfId="0" applyNumberFormat="1" applyFont="1" applyFill="1" applyBorder="1" applyAlignment="1">
      <alignment horizontal="center" vertical="center"/>
    </xf>
    <xf numFmtId="167" fontId="18" fillId="6" borderId="57" xfId="0" applyNumberFormat="1" applyFont="1" applyFill="1" applyBorder="1" applyAlignment="1">
      <alignment horizontal="center" vertical="center"/>
    </xf>
    <xf numFmtId="0" fontId="18" fillId="6" borderId="66" xfId="0" applyFont="1" applyFill="1" applyBorder="1" applyAlignment="1">
      <alignment horizontal="center" vertical="center"/>
    </xf>
    <xf numFmtId="0" fontId="31" fillId="5" borderId="17" xfId="0" applyFont="1" applyFill="1" applyBorder="1" applyAlignment="1">
      <alignment horizontal="left" vertical="center" indent="4"/>
    </xf>
    <xf numFmtId="3" fontId="0" fillId="5" borderId="0" xfId="0" applyNumberFormat="1" applyFont="1" applyFill="1" applyBorder="1" applyAlignment="1">
      <alignment horizontal="left" vertical="center" indent="1"/>
    </xf>
    <xf numFmtId="0" fontId="0" fillId="5" borderId="0" xfId="0" applyFont="1" applyFill="1" applyAlignment="1">
      <alignment horizontal="right" vertical="center"/>
    </xf>
    <xf numFmtId="0" fontId="0" fillId="5" borderId="0" xfId="0" applyFont="1" applyFill="1" applyAlignment="1">
      <alignment horizontal="left" vertical="center" indent="1"/>
    </xf>
    <xf numFmtId="0" fontId="0" fillId="5" borderId="30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31" fillId="5" borderId="21" xfId="0" applyFont="1" applyFill="1" applyBorder="1" applyAlignment="1">
      <alignment horizontal="left" vertical="center" indent="3"/>
    </xf>
    <xf numFmtId="0" fontId="0" fillId="5" borderId="0" xfId="0" applyFont="1" applyFill="1" applyAlignment="1">
      <alignment vertical="center"/>
    </xf>
    <xf numFmtId="166" fontId="0" fillId="3" borderId="4" xfId="0" applyNumberFormat="1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167" fontId="0" fillId="5" borderId="4" xfId="0" applyNumberFormat="1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166" fontId="0" fillId="3" borderId="3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right" vertical="center" indent="1"/>
    </xf>
    <xf numFmtId="0" fontId="0" fillId="2" borderId="3" xfId="0" applyFont="1" applyFill="1" applyBorder="1" applyAlignment="1">
      <alignment horizontal="right" vertical="center" indent="1"/>
    </xf>
    <xf numFmtId="0" fontId="0" fillId="5" borderId="10" xfId="0" applyFont="1" applyFill="1" applyBorder="1" applyAlignment="1">
      <alignment horizontal="right" vertical="center" indent="1"/>
    </xf>
    <xf numFmtId="0" fontId="0" fillId="5" borderId="11" xfId="0" applyFont="1" applyFill="1" applyBorder="1" applyAlignment="1">
      <alignment horizontal="right" vertical="center" indent="1"/>
    </xf>
    <xf numFmtId="0" fontId="0" fillId="5" borderId="0" xfId="0" applyFont="1" applyFill="1" applyBorder="1" applyAlignment="1">
      <alignment horizontal="right" vertical="center" indent="1"/>
    </xf>
    <xf numFmtId="1" fontId="22" fillId="4" borderId="21" xfId="0" applyNumberFormat="1" applyFont="1" applyFill="1" applyBorder="1" applyAlignment="1">
      <alignment horizontal="center" vertical="center"/>
    </xf>
    <xf numFmtId="0" fontId="22" fillId="4" borderId="22" xfId="0" applyFont="1" applyFill="1" applyBorder="1" applyAlignment="1">
      <alignment horizontal="center" vertical="center"/>
    </xf>
    <xf numFmtId="4" fontId="22" fillId="5" borderId="0" xfId="0" applyNumberFormat="1" applyFont="1" applyFill="1" applyBorder="1" applyAlignment="1">
      <alignment horizontal="left" vertical="center" indent="1"/>
    </xf>
    <xf numFmtId="1" fontId="22" fillId="3" borderId="46" xfId="0" applyNumberFormat="1" applyFont="1" applyFill="1" applyBorder="1" applyAlignment="1">
      <alignment horizontal="left" vertical="center" indent="1"/>
    </xf>
    <xf numFmtId="1" fontId="22" fillId="3" borderId="1" xfId="0" applyNumberFormat="1" applyFont="1" applyFill="1" applyBorder="1" applyAlignment="1">
      <alignment horizontal="left" vertical="center" indent="1"/>
    </xf>
    <xf numFmtId="1" fontId="22" fillId="3" borderId="9" xfId="0" applyNumberFormat="1" applyFont="1" applyFill="1" applyBorder="1" applyAlignment="1">
      <alignment horizontal="left" vertical="center" indent="1"/>
    </xf>
    <xf numFmtId="3" fontId="0" fillId="3" borderId="46" xfId="0" applyNumberFormat="1" applyFont="1" applyFill="1" applyBorder="1" applyAlignment="1">
      <alignment horizontal="left" vertical="center" indent="1"/>
    </xf>
    <xf numFmtId="3" fontId="0" fillId="3" borderId="1" xfId="0" applyNumberFormat="1" applyFont="1" applyFill="1" applyBorder="1" applyAlignment="1">
      <alignment horizontal="left" vertical="center" indent="1"/>
    </xf>
    <xf numFmtId="3" fontId="0" fillId="3" borderId="9" xfId="0" applyNumberFormat="1" applyFont="1" applyFill="1" applyBorder="1" applyAlignment="1">
      <alignment horizontal="left" vertical="center" indent="1"/>
    </xf>
    <xf numFmtId="3" fontId="0" fillId="3" borderId="46" xfId="0" applyNumberFormat="1" applyFont="1" applyFill="1" applyBorder="1" applyAlignment="1">
      <alignment horizontal="center" vertical="center"/>
    </xf>
    <xf numFmtId="3" fontId="0" fillId="3" borderId="9" xfId="0" applyNumberFormat="1" applyFont="1" applyFill="1" applyBorder="1" applyAlignment="1">
      <alignment horizontal="center" vertical="center"/>
    </xf>
    <xf numFmtId="3" fontId="0" fillId="3" borderId="47" xfId="0" applyNumberFormat="1" applyFont="1" applyFill="1" applyBorder="1" applyAlignment="1">
      <alignment horizontal="left" vertical="center" indent="1"/>
    </xf>
    <xf numFmtId="3" fontId="0" fillId="3" borderId="12" xfId="0" applyNumberFormat="1" applyFont="1" applyFill="1" applyBorder="1" applyAlignment="1">
      <alignment horizontal="left" vertical="center" indent="1"/>
    </xf>
    <xf numFmtId="3" fontId="0" fillId="3" borderId="13" xfId="0" applyNumberFormat="1" applyFont="1" applyFill="1" applyBorder="1" applyAlignment="1">
      <alignment horizontal="left" vertical="center" indent="1"/>
    </xf>
    <xf numFmtId="3" fontId="22" fillId="3" borderId="46" xfId="0" applyNumberFormat="1" applyFont="1" applyFill="1" applyBorder="1" applyAlignment="1">
      <alignment horizontal="left" vertical="center" indent="1"/>
    </xf>
    <xf numFmtId="3" fontId="22" fillId="3" borderId="1" xfId="0" applyNumberFormat="1" applyFont="1" applyFill="1" applyBorder="1" applyAlignment="1">
      <alignment horizontal="left" vertical="center" indent="1"/>
    </xf>
    <xf numFmtId="3" fontId="22" fillId="3" borderId="9" xfId="0" applyNumberFormat="1" applyFont="1" applyFill="1" applyBorder="1" applyAlignment="1">
      <alignment horizontal="left" vertical="center" indent="1"/>
    </xf>
    <xf numFmtId="3" fontId="22" fillId="3" borderId="19" xfId="0" applyNumberFormat="1" applyFont="1" applyFill="1" applyBorder="1" applyAlignment="1">
      <alignment horizontal="right" vertical="center" indent="1"/>
    </xf>
    <xf numFmtId="3" fontId="22" fillId="3" borderId="63" xfId="0" applyNumberFormat="1" applyFont="1" applyFill="1" applyBorder="1" applyAlignment="1">
      <alignment horizontal="right" vertical="center" indent="1"/>
    </xf>
    <xf numFmtId="3" fontId="22" fillId="3" borderId="72" xfId="0" applyNumberFormat="1" applyFont="1" applyFill="1" applyBorder="1" applyAlignment="1">
      <alignment horizontal="right" vertical="center" indent="1"/>
    </xf>
    <xf numFmtId="3" fontId="22" fillId="3" borderId="21" xfId="0" applyNumberFormat="1" applyFont="1" applyFill="1" applyBorder="1" applyAlignment="1">
      <alignment horizontal="right" vertical="center" indent="1"/>
    </xf>
    <xf numFmtId="0" fontId="12" fillId="3" borderId="19" xfId="0" applyFont="1" applyFill="1" applyBorder="1" applyAlignment="1">
      <alignment horizontal="center" vertical="center"/>
    </xf>
    <xf numFmtId="0" fontId="12" fillId="3" borderId="63" xfId="0" applyFont="1" applyFill="1" applyBorder="1" applyAlignment="1">
      <alignment horizontal="center" vertical="center"/>
    </xf>
    <xf numFmtId="0" fontId="12" fillId="3" borderId="72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167" fontId="12" fillId="3" borderId="42" xfId="0" applyNumberFormat="1" applyFont="1" applyFill="1" applyBorder="1" applyAlignment="1">
      <alignment horizontal="center" vertical="center"/>
    </xf>
    <xf numFmtId="167" fontId="12" fillId="3" borderId="80" xfId="0" applyNumberFormat="1" applyFont="1" applyFill="1" applyBorder="1" applyAlignment="1">
      <alignment horizontal="center" vertical="center"/>
    </xf>
    <xf numFmtId="167" fontId="12" fillId="3" borderId="81" xfId="0" applyNumberFormat="1" applyFont="1" applyFill="1" applyBorder="1" applyAlignment="1">
      <alignment horizontal="center" vertical="center"/>
    </xf>
    <xf numFmtId="167" fontId="12" fillId="3" borderId="79" xfId="0" applyNumberFormat="1" applyFont="1" applyFill="1" applyBorder="1" applyAlignment="1">
      <alignment horizontal="center" vertical="center"/>
    </xf>
    <xf numFmtId="167" fontId="12" fillId="3" borderId="4" xfId="0" applyNumberFormat="1" applyFont="1" applyFill="1" applyBorder="1" applyAlignment="1">
      <alignment horizontal="center" vertical="center"/>
    </xf>
    <xf numFmtId="167" fontId="12" fillId="3" borderId="7" xfId="0" applyNumberFormat="1" applyFont="1" applyFill="1" applyBorder="1" applyAlignment="1">
      <alignment horizontal="center" vertical="center"/>
    </xf>
    <xf numFmtId="167" fontId="12" fillId="3" borderId="9" xfId="0" applyNumberFormat="1" applyFont="1" applyFill="1" applyBorder="1" applyAlignment="1">
      <alignment horizontal="center" vertical="center"/>
    </xf>
    <xf numFmtId="0" fontId="29" fillId="3" borderId="67" xfId="0" applyFont="1" applyFill="1" applyBorder="1" applyAlignment="1">
      <alignment horizontal="center" vertical="center"/>
    </xf>
    <xf numFmtId="0" fontId="29" fillId="3" borderId="65" xfId="0" applyFont="1" applyFill="1" applyBorder="1" applyAlignment="1">
      <alignment horizontal="center" vertical="center"/>
    </xf>
    <xf numFmtId="0" fontId="29" fillId="3" borderId="69" xfId="0" applyFont="1" applyFill="1" applyBorder="1" applyAlignment="1">
      <alignment horizontal="center" vertical="center"/>
    </xf>
    <xf numFmtId="0" fontId="29" fillId="3" borderId="68" xfId="0" applyFont="1" applyFill="1" applyBorder="1" applyAlignment="1">
      <alignment horizontal="center" vertical="center"/>
    </xf>
    <xf numFmtId="0" fontId="22" fillId="10" borderId="77" xfId="0" applyFont="1" applyFill="1" applyBorder="1" applyAlignment="1">
      <alignment horizontal="center" vertical="center"/>
    </xf>
    <xf numFmtId="0" fontId="12" fillId="10" borderId="75" xfId="0" applyFont="1" applyFill="1" applyBorder="1" applyAlignment="1">
      <alignment horizontal="center" vertical="center"/>
    </xf>
    <xf numFmtId="0" fontId="22" fillId="10" borderId="21" xfId="0" applyFont="1" applyFill="1" applyBorder="1" applyAlignment="1">
      <alignment horizontal="center" vertical="center"/>
    </xf>
    <xf numFmtId="0" fontId="12" fillId="10" borderId="76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3" fontId="13" fillId="10" borderId="15" xfId="0" applyNumberFormat="1" applyFont="1" applyFill="1" applyBorder="1" applyAlignment="1">
      <alignment horizontal="center" vertical="center"/>
    </xf>
    <xf numFmtId="167" fontId="13" fillId="10" borderId="82" xfId="0" applyNumberFormat="1" applyFont="1" applyFill="1" applyBorder="1" applyAlignment="1">
      <alignment horizontal="center" vertical="center"/>
    </xf>
    <xf numFmtId="3" fontId="13" fillId="10" borderId="51" xfId="0" applyNumberFormat="1" applyFont="1" applyFill="1" applyBorder="1" applyAlignment="1">
      <alignment horizontal="center" vertical="center"/>
    </xf>
    <xf numFmtId="167" fontId="13" fillId="10" borderId="84" xfId="0" applyNumberFormat="1" applyFont="1" applyFill="1" applyBorder="1" applyAlignment="1">
      <alignment horizontal="center" vertical="center"/>
    </xf>
    <xf numFmtId="167" fontId="13" fillId="10" borderId="83" xfId="0" applyNumberFormat="1" applyFont="1" applyFill="1" applyBorder="1" applyAlignment="1">
      <alignment horizontal="center" vertical="center"/>
    </xf>
    <xf numFmtId="167" fontId="13" fillId="10" borderId="85" xfId="0" applyNumberFormat="1" applyFont="1" applyFill="1" applyBorder="1" applyAlignment="1">
      <alignment horizontal="center" vertical="center"/>
    </xf>
    <xf numFmtId="3" fontId="13" fillId="10" borderId="22" xfId="0" applyNumberFormat="1" applyFont="1" applyFill="1" applyBorder="1" applyAlignment="1">
      <alignment horizontal="center" vertical="center"/>
    </xf>
    <xf numFmtId="167" fontId="13" fillId="10" borderId="86" xfId="0" applyNumberFormat="1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1" fontId="28" fillId="10" borderId="0" xfId="0" applyNumberFormat="1" applyFont="1" applyFill="1" applyBorder="1" applyAlignment="1">
      <alignment horizontal="center" vertical="center"/>
    </xf>
    <xf numFmtId="0" fontId="0" fillId="10" borderId="0" xfId="0" applyFont="1" applyFill="1" applyAlignment="1">
      <alignment horizontal="right" vertical="center" indent="1"/>
    </xf>
    <xf numFmtId="0" fontId="0" fillId="5" borderId="0" xfId="0" applyFont="1" applyFill="1" applyAlignment="1">
      <alignment horizontal="right" vertical="center" indent="1"/>
    </xf>
    <xf numFmtId="165" fontId="22" fillId="5" borderId="0" xfId="0" applyNumberFormat="1" applyFont="1" applyFill="1" applyAlignment="1">
      <alignment horizontal="right" vertical="center" indent="1"/>
    </xf>
    <xf numFmtId="165" fontId="15" fillId="5" borderId="0" xfId="0" applyNumberFormat="1" applyFont="1" applyFill="1" applyBorder="1" applyAlignment="1">
      <alignment horizontal="center" vertical="center"/>
    </xf>
    <xf numFmtId="165" fontId="22" fillId="5" borderId="0" xfId="0" applyNumberFormat="1" applyFont="1" applyFill="1" applyBorder="1" applyAlignment="1">
      <alignment horizontal="center" vertical="center"/>
    </xf>
    <xf numFmtId="0" fontId="12" fillId="3" borderId="67" xfId="0" applyFont="1" applyFill="1" applyBorder="1" applyAlignment="1">
      <alignment horizontal="center" vertical="center"/>
    </xf>
    <xf numFmtId="3" fontId="22" fillId="5" borderId="0" xfId="0" applyNumberFormat="1" applyFont="1" applyFill="1" applyAlignment="1">
      <alignment horizontal="right" vertical="center" indent="1"/>
    </xf>
    <xf numFmtId="3" fontId="12" fillId="10" borderId="75" xfId="0" applyNumberFormat="1" applyFont="1" applyFill="1" applyBorder="1" applyAlignment="1">
      <alignment horizontal="center" vertical="center"/>
    </xf>
    <xf numFmtId="3" fontId="12" fillId="10" borderId="76" xfId="0" applyNumberFormat="1" applyFont="1" applyFill="1" applyBorder="1" applyAlignment="1">
      <alignment horizontal="center" vertical="center"/>
    </xf>
    <xf numFmtId="3" fontId="13" fillId="6" borderId="0" xfId="0" applyNumberFormat="1" applyFont="1" applyFill="1" applyBorder="1" applyAlignment="1">
      <alignment horizontal="center" vertical="center"/>
    </xf>
    <xf numFmtId="3" fontId="13" fillId="5" borderId="38" xfId="0" applyNumberFormat="1" applyFont="1" applyFill="1" applyBorder="1" applyAlignment="1">
      <alignment horizontal="center" vertical="center"/>
    </xf>
    <xf numFmtId="3" fontId="13" fillId="6" borderId="64" xfId="0" applyNumberFormat="1" applyFont="1" applyFill="1" applyBorder="1" applyAlignment="1">
      <alignment horizontal="center" vertical="center"/>
    </xf>
    <xf numFmtId="3" fontId="28" fillId="6" borderId="93" xfId="0" applyNumberFormat="1" applyFont="1" applyFill="1" applyBorder="1" applyAlignment="1">
      <alignment horizontal="right" vertical="center" indent="1"/>
    </xf>
    <xf numFmtId="3" fontId="13" fillId="5" borderId="94" xfId="0" applyNumberFormat="1" applyFont="1" applyFill="1" applyBorder="1" applyAlignment="1">
      <alignment horizontal="center" vertical="center"/>
    </xf>
    <xf numFmtId="3" fontId="13" fillId="5" borderId="51" xfId="0" applyNumberFormat="1" applyFont="1" applyFill="1" applyBorder="1" applyAlignment="1">
      <alignment horizontal="center" vertical="center"/>
    </xf>
    <xf numFmtId="3" fontId="13" fillId="5" borderId="95" xfId="0" applyNumberFormat="1" applyFont="1" applyFill="1" applyBorder="1" applyAlignment="1">
      <alignment horizontal="center" vertical="center"/>
    </xf>
    <xf numFmtId="3" fontId="13" fillId="5" borderId="57" xfId="0" applyNumberFormat="1" applyFont="1" applyFill="1" applyBorder="1" applyAlignment="1">
      <alignment horizontal="center" vertical="center"/>
    </xf>
    <xf numFmtId="3" fontId="13" fillId="5" borderId="52" xfId="0" applyNumberFormat="1" applyFont="1" applyFill="1" applyBorder="1" applyAlignment="1">
      <alignment horizontal="center" vertical="center"/>
    </xf>
    <xf numFmtId="3" fontId="13" fillId="6" borderId="25" xfId="0" applyNumberFormat="1" applyFont="1" applyFill="1" applyBorder="1" applyAlignment="1">
      <alignment horizontal="center" vertical="center"/>
    </xf>
    <xf numFmtId="3" fontId="13" fillId="5" borderId="96" xfId="0" applyNumberFormat="1" applyFont="1" applyFill="1" applyBorder="1" applyAlignment="1">
      <alignment horizontal="center" vertical="center"/>
    </xf>
    <xf numFmtId="3" fontId="22" fillId="5" borderId="0" xfId="0" applyNumberFormat="1" applyFont="1" applyFill="1" applyBorder="1" applyAlignment="1">
      <alignment horizontal="center" vertical="center"/>
    </xf>
    <xf numFmtId="0" fontId="22" fillId="5" borderId="36" xfId="0" applyFont="1" applyFill="1" applyBorder="1" applyAlignment="1">
      <alignment horizontal="left" vertical="center" indent="1"/>
    </xf>
    <xf numFmtId="3" fontId="22" fillId="5" borderId="36" xfId="0" applyNumberFormat="1" applyFont="1" applyFill="1" applyBorder="1" applyAlignment="1">
      <alignment horizontal="center" vertical="center"/>
    </xf>
    <xf numFmtId="0" fontId="0" fillId="5" borderId="36" xfId="0" applyFont="1" applyFill="1" applyBorder="1" applyAlignment="1">
      <alignment horizontal="right" vertical="center" indent="1"/>
    </xf>
    <xf numFmtId="0" fontId="22" fillId="5" borderId="36" xfId="0" applyFont="1" applyFill="1" applyBorder="1" applyAlignment="1">
      <alignment horizontal="center" vertical="center"/>
    </xf>
    <xf numFmtId="3" fontId="22" fillId="5" borderId="36" xfId="0" applyNumberFormat="1" applyFont="1" applyFill="1" applyBorder="1" applyAlignment="1">
      <alignment horizontal="left" vertical="center" indent="1"/>
    </xf>
    <xf numFmtId="0" fontId="32" fillId="5" borderId="36" xfId="0" applyFont="1" applyFill="1" applyBorder="1" applyAlignment="1">
      <alignment horizontal="right" vertical="center" indent="1"/>
    </xf>
    <xf numFmtId="0" fontId="22" fillId="5" borderId="36" xfId="0" applyFont="1" applyFill="1" applyBorder="1" applyAlignment="1">
      <alignment horizontal="right" vertical="center" indent="1"/>
    </xf>
    <xf numFmtId="3" fontId="32" fillId="5" borderId="36" xfId="0" applyNumberFormat="1" applyFont="1" applyFill="1" applyBorder="1" applyAlignment="1">
      <alignment horizontal="left" vertical="center" indent="1"/>
    </xf>
    <xf numFmtId="3" fontId="13" fillId="5" borderId="36" xfId="0" applyNumberFormat="1" applyFont="1" applyFill="1" applyBorder="1" applyAlignment="1">
      <alignment horizontal="left" vertical="center" indent="1"/>
    </xf>
    <xf numFmtId="4" fontId="13" fillId="5" borderId="36" xfId="0" applyNumberFormat="1" applyFont="1" applyFill="1" applyBorder="1" applyAlignment="1">
      <alignment horizontal="left" vertical="center" indent="1"/>
    </xf>
    <xf numFmtId="3" fontId="12" fillId="5" borderId="36" xfId="0" applyNumberFormat="1" applyFont="1" applyFill="1" applyBorder="1" applyAlignment="1">
      <alignment horizontal="left" vertical="center" indent="1"/>
    </xf>
    <xf numFmtId="170" fontId="13" fillId="5" borderId="36" xfId="0" applyNumberFormat="1" applyFont="1" applyFill="1" applyBorder="1" applyAlignment="1">
      <alignment horizontal="left" vertical="center" indent="1"/>
    </xf>
    <xf numFmtId="1" fontId="22" fillId="5" borderId="36" xfId="0" applyNumberFormat="1" applyFont="1" applyFill="1" applyBorder="1" applyAlignment="1">
      <alignment horizontal="left" vertical="center" indent="1"/>
    </xf>
    <xf numFmtId="3" fontId="0" fillId="5" borderId="36" xfId="0" applyNumberFormat="1" applyFont="1" applyFill="1" applyBorder="1" applyAlignment="1">
      <alignment horizontal="left" vertical="center" indent="1"/>
    </xf>
    <xf numFmtId="3" fontId="0" fillId="5" borderId="36" xfId="0" applyNumberFormat="1" applyFont="1" applyFill="1" applyBorder="1" applyAlignment="1">
      <alignment horizontal="center" vertical="center"/>
    </xf>
    <xf numFmtId="3" fontId="40" fillId="2" borderId="1" xfId="0" applyNumberFormat="1" applyFont="1" applyFill="1" applyBorder="1" applyAlignment="1">
      <alignment horizontal="left" vertical="center" indent="1"/>
    </xf>
    <xf numFmtId="3" fontId="40" fillId="2" borderId="62" xfId="0" applyNumberFormat="1" applyFont="1" applyFill="1" applyBorder="1" applyAlignment="1">
      <alignment horizontal="left" vertical="center" indent="1"/>
    </xf>
    <xf numFmtId="3" fontId="13" fillId="5" borderId="0" xfId="0" applyNumberFormat="1" applyFont="1" applyFill="1" applyBorder="1" applyAlignment="1">
      <alignment horizontal="left" vertical="center" indent="1"/>
    </xf>
    <xf numFmtId="4" fontId="13" fillId="5" borderId="0" xfId="0" applyNumberFormat="1" applyFont="1" applyFill="1" applyBorder="1" applyAlignment="1">
      <alignment horizontal="left" vertical="center" indent="1"/>
    </xf>
    <xf numFmtId="3" fontId="12" fillId="5" borderId="0" xfId="0" applyNumberFormat="1" applyFont="1" applyFill="1" applyBorder="1" applyAlignment="1">
      <alignment horizontal="left" vertical="center" indent="1"/>
    </xf>
    <xf numFmtId="170" fontId="13" fillId="5" borderId="0" xfId="0" applyNumberFormat="1" applyFont="1" applyFill="1" applyBorder="1" applyAlignment="1">
      <alignment horizontal="left" vertical="center" indent="1"/>
    </xf>
    <xf numFmtId="4" fontId="0" fillId="5" borderId="0" xfId="0" applyNumberFormat="1" applyFont="1" applyFill="1" applyBorder="1" applyAlignment="1">
      <alignment horizontal="left" vertical="center" indent="1"/>
    </xf>
    <xf numFmtId="3" fontId="22" fillId="5" borderId="0" xfId="0" applyNumberFormat="1" applyFont="1" applyFill="1" applyBorder="1" applyAlignment="1">
      <alignment horizontal="left" vertical="center" indent="1"/>
    </xf>
    <xf numFmtId="170" fontId="0" fillId="5" borderId="0" xfId="0" applyNumberFormat="1" applyFont="1" applyFill="1" applyBorder="1" applyAlignment="1">
      <alignment horizontal="left" vertical="center" indent="1"/>
    </xf>
    <xf numFmtId="0" fontId="0" fillId="5" borderId="76" xfId="0" applyFont="1" applyFill="1" applyBorder="1" applyAlignment="1">
      <alignment horizontal="right" vertical="center" indent="1"/>
    </xf>
    <xf numFmtId="3" fontId="0" fillId="2" borderId="99" xfId="0" applyNumberFormat="1" applyFont="1" applyFill="1" applyBorder="1" applyAlignment="1">
      <alignment horizontal="left" vertical="center" indent="1"/>
    </xf>
    <xf numFmtId="0" fontId="0" fillId="2" borderId="100" xfId="0" applyFont="1" applyFill="1" applyBorder="1" applyAlignment="1">
      <alignment horizontal="right" vertical="center" indent="1"/>
    </xf>
    <xf numFmtId="0" fontId="0" fillId="2" borderId="101" xfId="0" applyFont="1" applyFill="1" applyBorder="1" applyAlignment="1">
      <alignment horizontal="right" vertical="center" indent="1"/>
    </xf>
    <xf numFmtId="3" fontId="0" fillId="2" borderId="102" xfId="0" applyNumberFormat="1" applyFont="1" applyFill="1" applyBorder="1" applyAlignment="1">
      <alignment horizontal="left" vertical="center" indent="1"/>
    </xf>
    <xf numFmtId="0" fontId="0" fillId="2" borderId="103" xfId="0" applyFont="1" applyFill="1" applyBorder="1" applyAlignment="1">
      <alignment horizontal="right" vertical="center" indent="1"/>
    </xf>
    <xf numFmtId="0" fontId="0" fillId="2" borderId="104" xfId="0" applyFont="1" applyFill="1" applyBorder="1" applyAlignment="1">
      <alignment horizontal="right" vertical="center" indent="1"/>
    </xf>
    <xf numFmtId="0" fontId="0" fillId="2" borderId="105" xfId="0" applyFont="1" applyFill="1" applyBorder="1" applyAlignment="1">
      <alignment horizontal="right" vertical="center" indent="1"/>
    </xf>
    <xf numFmtId="2" fontId="22" fillId="2" borderId="107" xfId="0" applyNumberFormat="1" applyFont="1" applyFill="1" applyBorder="1" applyAlignment="1">
      <alignment horizontal="left" vertical="center" indent="1"/>
    </xf>
    <xf numFmtId="3" fontId="22" fillId="2" borderId="110" xfId="0" applyNumberFormat="1" applyFont="1" applyFill="1" applyBorder="1" applyAlignment="1">
      <alignment horizontal="left" vertical="center" indent="1"/>
    </xf>
    <xf numFmtId="3" fontId="22" fillId="2" borderId="111" xfId="0" applyNumberFormat="1" applyFont="1" applyFill="1" applyBorder="1" applyAlignment="1">
      <alignment horizontal="left" vertical="center" indent="1"/>
    </xf>
    <xf numFmtId="3" fontId="22" fillId="2" borderId="112" xfId="0" applyNumberFormat="1" applyFont="1" applyFill="1" applyBorder="1" applyAlignment="1">
      <alignment horizontal="left" vertical="center" indent="1"/>
    </xf>
    <xf numFmtId="3" fontId="22" fillId="2" borderId="113" xfId="0" applyNumberFormat="1" applyFont="1" applyFill="1" applyBorder="1" applyAlignment="1">
      <alignment horizontal="left" vertical="center" indent="1"/>
    </xf>
    <xf numFmtId="3" fontId="22" fillId="2" borderId="114" xfId="0" applyNumberFormat="1" applyFont="1" applyFill="1" applyBorder="1" applyAlignment="1">
      <alignment horizontal="left" vertical="center" indent="1"/>
    </xf>
    <xf numFmtId="3" fontId="22" fillId="2" borderId="115" xfId="0" applyNumberFormat="1" applyFont="1" applyFill="1" applyBorder="1" applyAlignment="1">
      <alignment horizontal="left" vertical="center" indent="1"/>
    </xf>
    <xf numFmtId="3" fontId="40" fillId="2" borderId="112" xfId="0" applyNumberFormat="1" applyFont="1" applyFill="1" applyBorder="1" applyAlignment="1">
      <alignment horizontal="left" vertical="center" indent="1"/>
    </xf>
    <xf numFmtId="3" fontId="40" fillId="2" borderId="113" xfId="0" applyNumberFormat="1" applyFont="1" applyFill="1" applyBorder="1" applyAlignment="1">
      <alignment horizontal="left" vertical="center" indent="1"/>
    </xf>
    <xf numFmtId="3" fontId="36" fillId="2" borderId="110" xfId="0" applyNumberFormat="1" applyFont="1" applyFill="1" applyBorder="1" applyAlignment="1">
      <alignment horizontal="left" vertical="center" indent="1"/>
    </xf>
    <xf numFmtId="3" fontId="36" fillId="2" borderId="116" xfId="0" applyNumberFormat="1" applyFont="1" applyFill="1" applyBorder="1" applyAlignment="1">
      <alignment horizontal="left" vertical="center" indent="1"/>
    </xf>
    <xf numFmtId="3" fontId="36" fillId="2" borderId="117" xfId="0" applyNumberFormat="1" applyFont="1" applyFill="1" applyBorder="1" applyAlignment="1">
      <alignment horizontal="left" vertical="center" indent="1"/>
    </xf>
    <xf numFmtId="3" fontId="36" fillId="2" borderId="111" xfId="0" applyNumberFormat="1" applyFont="1" applyFill="1" applyBorder="1" applyAlignment="1">
      <alignment horizontal="left" vertical="center" indent="1"/>
    </xf>
    <xf numFmtId="3" fontId="40" fillId="2" borderId="104" xfId="0" applyNumberFormat="1" applyFont="1" applyFill="1" applyBorder="1" applyAlignment="1">
      <alignment horizontal="left" vertical="center" indent="1"/>
    </xf>
    <xf numFmtId="3" fontId="36" fillId="2" borderId="101" xfId="0" applyNumberFormat="1" applyFont="1" applyFill="1" applyBorder="1" applyAlignment="1">
      <alignment horizontal="left" vertical="center" indent="1"/>
    </xf>
    <xf numFmtId="4" fontId="40" fillId="2" borderId="112" xfId="0" applyNumberFormat="1" applyFont="1" applyFill="1" applyBorder="1" applyAlignment="1">
      <alignment horizontal="left" vertical="center" indent="1"/>
    </xf>
    <xf numFmtId="4" fontId="40" fillId="2" borderId="1" xfId="0" applyNumberFormat="1" applyFont="1" applyFill="1" applyBorder="1" applyAlignment="1">
      <alignment horizontal="left" vertical="center" indent="1"/>
    </xf>
    <xf numFmtId="4" fontId="40" fillId="2" borderId="62" xfId="0" applyNumberFormat="1" applyFont="1" applyFill="1" applyBorder="1" applyAlignment="1">
      <alignment horizontal="left" vertical="center" indent="1"/>
    </xf>
    <xf numFmtId="4" fontId="40" fillId="2" borderId="113" xfId="0" applyNumberFormat="1" applyFont="1" applyFill="1" applyBorder="1" applyAlignment="1">
      <alignment horizontal="left" vertical="center" indent="1"/>
    </xf>
    <xf numFmtId="0" fontId="22" fillId="5" borderId="78" xfId="0" applyFont="1" applyFill="1" applyBorder="1" applyAlignment="1">
      <alignment horizontal="right" vertical="center" indent="1"/>
    </xf>
    <xf numFmtId="2" fontId="22" fillId="4" borderId="4" xfId="0" applyNumberFormat="1" applyFont="1" applyFill="1" applyBorder="1" applyAlignment="1">
      <alignment horizontal="center" vertical="center"/>
    </xf>
    <xf numFmtId="3" fontId="36" fillId="3" borderId="45" xfId="0" applyNumberFormat="1" applyFont="1" applyFill="1" applyBorder="1" applyAlignment="1">
      <alignment horizontal="left" vertical="center" indent="1"/>
    </xf>
    <xf numFmtId="3" fontId="42" fillId="5" borderId="126" xfId="0" applyNumberFormat="1" applyFont="1" applyFill="1" applyBorder="1" applyAlignment="1">
      <alignment horizontal="center" vertical="center"/>
    </xf>
    <xf numFmtId="3" fontId="42" fillId="5" borderId="31" xfId="0" applyNumberFormat="1" applyFont="1" applyFill="1" applyBorder="1" applyAlignment="1">
      <alignment horizontal="center" vertical="center"/>
    </xf>
    <xf numFmtId="3" fontId="42" fillId="5" borderId="32" xfId="0" applyNumberFormat="1" applyFont="1" applyFill="1" applyBorder="1" applyAlignment="1">
      <alignment horizontal="center" vertical="center"/>
    </xf>
    <xf numFmtId="3" fontId="42" fillId="5" borderId="127" xfId="0" applyNumberFormat="1" applyFont="1" applyFill="1" applyBorder="1" applyAlignment="1">
      <alignment horizontal="center" vertical="center"/>
    </xf>
    <xf numFmtId="3" fontId="45" fillId="2" borderId="112" xfId="0" applyNumberFormat="1" applyFont="1" applyFill="1" applyBorder="1" applyAlignment="1">
      <alignment horizontal="left" vertical="center" indent="1"/>
    </xf>
    <xf numFmtId="3" fontId="45" fillId="2" borderId="1" xfId="0" applyNumberFormat="1" applyFont="1" applyFill="1" applyBorder="1" applyAlignment="1">
      <alignment horizontal="left" vertical="center" indent="1"/>
    </xf>
    <xf numFmtId="3" fontId="45" fillId="2" borderId="62" xfId="0" applyNumberFormat="1" applyFont="1" applyFill="1" applyBorder="1" applyAlignment="1">
      <alignment horizontal="left" vertical="center" indent="1"/>
    </xf>
    <xf numFmtId="3" fontId="45" fillId="2" borderId="113" xfId="0" applyNumberFormat="1" applyFont="1" applyFill="1" applyBorder="1" applyAlignment="1">
      <alignment horizontal="left" vertical="center" indent="1"/>
    </xf>
    <xf numFmtId="4" fontId="45" fillId="2" borderId="112" xfId="0" applyNumberFormat="1" applyFont="1" applyFill="1" applyBorder="1" applyAlignment="1">
      <alignment horizontal="left" vertical="center" indent="1"/>
    </xf>
    <xf numFmtId="4" fontId="45" fillId="2" borderId="1" xfId="0" applyNumberFormat="1" applyFont="1" applyFill="1" applyBorder="1" applyAlignment="1">
      <alignment horizontal="left" vertical="center" indent="1"/>
    </xf>
    <xf numFmtId="4" fontId="45" fillId="2" borderId="62" xfId="0" applyNumberFormat="1" applyFont="1" applyFill="1" applyBorder="1" applyAlignment="1">
      <alignment horizontal="left" vertical="center" indent="1"/>
    </xf>
    <xf numFmtId="4" fontId="45" fillId="2" borderId="113" xfId="0" applyNumberFormat="1" applyFont="1" applyFill="1" applyBorder="1" applyAlignment="1">
      <alignment horizontal="left" vertical="center" indent="1"/>
    </xf>
    <xf numFmtId="170" fontId="45" fillId="2" borderId="114" xfId="0" applyNumberFormat="1" applyFont="1" applyFill="1" applyBorder="1" applyAlignment="1">
      <alignment horizontal="left" vertical="center" indent="1"/>
    </xf>
    <xf numFmtId="170" fontId="45" fillId="2" borderId="118" xfId="0" applyNumberFormat="1" applyFont="1" applyFill="1" applyBorder="1" applyAlignment="1">
      <alignment horizontal="left" vertical="center" indent="1"/>
    </xf>
    <xf numFmtId="170" fontId="45" fillId="2" borderId="115" xfId="0" applyNumberFormat="1" applyFont="1" applyFill="1" applyBorder="1" applyAlignment="1">
      <alignment horizontal="left" vertical="center" indent="1"/>
    </xf>
    <xf numFmtId="0" fontId="46" fillId="2" borderId="106" xfId="0" applyFont="1" applyFill="1" applyBorder="1" applyAlignment="1">
      <alignment horizontal="center" vertical="center"/>
    </xf>
    <xf numFmtId="0" fontId="46" fillId="2" borderId="107" xfId="0" applyFont="1" applyFill="1" applyBorder="1" applyAlignment="1">
      <alignment horizontal="center" vertical="center"/>
    </xf>
    <xf numFmtId="0" fontId="46" fillId="2" borderId="108" xfId="0" applyFont="1" applyFill="1" applyBorder="1" applyAlignment="1">
      <alignment horizontal="center" vertical="center"/>
    </xf>
    <xf numFmtId="3" fontId="42" fillId="5" borderId="112" xfId="0" applyNumberFormat="1" applyFont="1" applyFill="1" applyBorder="1" applyAlignment="1">
      <alignment horizontal="center" vertical="center"/>
    </xf>
    <xf numFmtId="3" fontId="42" fillId="5" borderId="1" xfId="0" applyNumberFormat="1" applyFont="1" applyFill="1" applyBorder="1" applyAlignment="1">
      <alignment horizontal="center" vertical="center"/>
    </xf>
    <xf numFmtId="3" fontId="42" fillId="5" borderId="62" xfId="0" applyNumberFormat="1" applyFont="1" applyFill="1" applyBorder="1" applyAlignment="1">
      <alignment horizontal="center" vertical="center"/>
    </xf>
    <xf numFmtId="3" fontId="42" fillId="5" borderId="113" xfId="0" applyNumberFormat="1" applyFont="1" applyFill="1" applyBorder="1" applyAlignment="1">
      <alignment horizontal="center" vertical="center"/>
    </xf>
    <xf numFmtId="3" fontId="42" fillId="5" borderId="104" xfId="0" applyNumberFormat="1" applyFont="1" applyFill="1" applyBorder="1" applyAlignment="1">
      <alignment horizontal="center" vertical="center"/>
    </xf>
    <xf numFmtId="3" fontId="41" fillId="2" borderId="112" xfId="0" applyNumberFormat="1" applyFont="1" applyFill="1" applyBorder="1" applyAlignment="1">
      <alignment horizontal="left" vertical="center" indent="1"/>
    </xf>
    <xf numFmtId="3" fontId="41" fillId="2" borderId="1" xfId="0" applyNumberFormat="1" applyFont="1" applyFill="1" applyBorder="1" applyAlignment="1">
      <alignment horizontal="left" vertical="center" indent="1"/>
    </xf>
    <xf numFmtId="3" fontId="41" fillId="2" borderId="104" xfId="0" applyNumberFormat="1" applyFont="1" applyFill="1" applyBorder="1" applyAlignment="1">
      <alignment horizontal="left" vertical="center" indent="1"/>
    </xf>
    <xf numFmtId="4" fontId="41" fillId="2" borderId="112" xfId="0" applyNumberFormat="1" applyFont="1" applyFill="1" applyBorder="1" applyAlignment="1">
      <alignment horizontal="left" vertical="center" indent="1"/>
    </xf>
    <xf numFmtId="4" fontId="41" fillId="2" borderId="1" xfId="0" applyNumberFormat="1" applyFont="1" applyFill="1" applyBorder="1" applyAlignment="1">
      <alignment horizontal="left" vertical="center" indent="1"/>
    </xf>
    <xf numFmtId="3" fontId="42" fillId="2" borderId="112" xfId="0" applyNumberFormat="1" applyFont="1" applyFill="1" applyBorder="1" applyAlignment="1">
      <alignment horizontal="left" vertical="center" indent="1"/>
    </xf>
    <xf numFmtId="3" fontId="42" fillId="2" borderId="1" xfId="0" applyNumberFormat="1" applyFont="1" applyFill="1" applyBorder="1" applyAlignment="1">
      <alignment horizontal="left" vertical="center" indent="1"/>
    </xf>
    <xf numFmtId="3" fontId="42" fillId="2" borderId="104" xfId="0" applyNumberFormat="1" applyFont="1" applyFill="1" applyBorder="1" applyAlignment="1">
      <alignment horizontal="left" vertical="center" indent="1"/>
    </xf>
    <xf numFmtId="4" fontId="41" fillId="2" borderId="113" xfId="0" applyNumberFormat="1" applyFont="1" applyFill="1" applyBorder="1" applyAlignment="1">
      <alignment horizontal="left" vertical="center" indent="1"/>
    </xf>
    <xf numFmtId="170" fontId="41" fillId="2" borderId="114" xfId="0" applyNumberFormat="1" applyFont="1" applyFill="1" applyBorder="1" applyAlignment="1">
      <alignment horizontal="left" vertical="center" indent="1"/>
    </xf>
    <xf numFmtId="170" fontId="41" fillId="2" borderId="118" xfId="0" applyNumberFormat="1" applyFont="1" applyFill="1" applyBorder="1" applyAlignment="1">
      <alignment horizontal="left" vertical="center" indent="1"/>
    </xf>
    <xf numFmtId="170" fontId="41" fillId="2" borderId="115" xfId="0" applyNumberFormat="1" applyFont="1" applyFill="1" applyBorder="1" applyAlignment="1">
      <alignment horizontal="left" vertical="center" indent="1"/>
    </xf>
    <xf numFmtId="3" fontId="41" fillId="2" borderId="113" xfId="0" applyNumberFormat="1" applyFont="1" applyFill="1" applyBorder="1" applyAlignment="1">
      <alignment horizontal="left" vertical="center" indent="1"/>
    </xf>
    <xf numFmtId="3" fontId="42" fillId="2" borderId="113" xfId="0" applyNumberFormat="1" applyFont="1" applyFill="1" applyBorder="1" applyAlignment="1">
      <alignment horizontal="left" vertical="center" indent="1"/>
    </xf>
    <xf numFmtId="0" fontId="42" fillId="2" borderId="106" xfId="0" applyFont="1" applyFill="1" applyBorder="1" applyAlignment="1">
      <alignment horizontal="center" vertical="center"/>
    </xf>
    <xf numFmtId="0" fontId="42" fillId="2" borderId="107" xfId="0" applyFont="1" applyFill="1" applyBorder="1" applyAlignment="1">
      <alignment horizontal="center" vertical="center"/>
    </xf>
    <xf numFmtId="0" fontId="42" fillId="2" borderId="108" xfId="0" applyFont="1" applyFill="1" applyBorder="1" applyAlignment="1">
      <alignment horizontal="center" vertical="center"/>
    </xf>
    <xf numFmtId="0" fontId="42" fillId="2" borderId="129" xfId="0" applyFont="1" applyFill="1" applyBorder="1" applyAlignment="1">
      <alignment horizontal="center" vertical="center"/>
    </xf>
    <xf numFmtId="0" fontId="42" fillId="2" borderId="130" xfId="0" applyFont="1" applyFill="1" applyBorder="1" applyAlignment="1">
      <alignment horizontal="center" vertical="center"/>
    </xf>
    <xf numFmtId="0" fontId="42" fillId="2" borderId="131" xfId="0" applyFont="1" applyFill="1" applyBorder="1" applyAlignment="1">
      <alignment horizontal="center" vertical="center"/>
    </xf>
    <xf numFmtId="0" fontId="46" fillId="2" borderId="125" xfId="0" applyFont="1" applyFill="1" applyBorder="1" applyAlignment="1">
      <alignment horizontal="center" vertical="center"/>
    </xf>
    <xf numFmtId="3" fontId="36" fillId="4" borderId="1" xfId="0" applyNumberFormat="1" applyFont="1" applyFill="1" applyBorder="1" applyAlignment="1">
      <alignment horizontal="center" vertical="center"/>
    </xf>
    <xf numFmtId="0" fontId="12" fillId="6" borderId="34" xfId="0" applyFont="1" applyFill="1" applyBorder="1" applyAlignment="1">
      <alignment horizontal="left" vertical="center" indent="1"/>
    </xf>
    <xf numFmtId="3" fontId="13" fillId="10" borderId="35" xfId="0" applyNumberFormat="1" applyFont="1" applyFill="1" applyBorder="1" applyAlignment="1">
      <alignment horizontal="center" vertical="center"/>
    </xf>
    <xf numFmtId="0" fontId="13" fillId="6" borderId="132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10" borderId="28" xfId="0" applyFont="1" applyFill="1" applyBorder="1" applyAlignment="1">
      <alignment horizontal="center" vertical="center"/>
    </xf>
    <xf numFmtId="0" fontId="28" fillId="6" borderId="64" xfId="0" applyFont="1" applyFill="1" applyBorder="1" applyAlignment="1">
      <alignment horizontal="right" vertical="center" indent="1"/>
    </xf>
    <xf numFmtId="0" fontId="28" fillId="4" borderId="1" xfId="0" applyFont="1" applyFill="1" applyBorder="1" applyAlignment="1">
      <alignment horizontal="center" vertical="center"/>
    </xf>
    <xf numFmtId="3" fontId="13" fillId="5" borderId="54" xfId="0" applyNumberFormat="1" applyFont="1" applyFill="1" applyBorder="1" applyAlignment="1">
      <alignment horizontal="center" vertical="center"/>
    </xf>
    <xf numFmtId="167" fontId="13" fillId="10" borderId="42" xfId="0" applyNumberFormat="1" applyFont="1" applyFill="1" applyBorder="1" applyAlignment="1">
      <alignment horizontal="center" vertical="center"/>
    </xf>
    <xf numFmtId="167" fontId="13" fillId="10" borderId="26" xfId="0" applyNumberFormat="1" applyFont="1" applyFill="1" applyBorder="1" applyAlignment="1">
      <alignment horizontal="center" vertical="center"/>
    </xf>
    <xf numFmtId="3" fontId="13" fillId="6" borderId="132" xfId="0" applyNumberFormat="1" applyFont="1" applyFill="1" applyBorder="1" applyAlignment="1">
      <alignment horizontal="center" vertical="center"/>
    </xf>
    <xf numFmtId="3" fontId="13" fillId="6" borderId="28" xfId="0" applyNumberFormat="1" applyFont="1" applyFill="1" applyBorder="1" applyAlignment="1">
      <alignment horizontal="center" vertical="center"/>
    </xf>
    <xf numFmtId="3" fontId="13" fillId="5" borderId="53" xfId="0" applyNumberFormat="1" applyFont="1" applyFill="1" applyBorder="1" applyAlignment="1">
      <alignment horizontal="center" vertical="center"/>
    </xf>
    <xf numFmtId="3" fontId="13" fillId="5" borderId="133" xfId="0" applyNumberFormat="1" applyFont="1" applyFill="1" applyBorder="1" applyAlignment="1">
      <alignment horizontal="center" vertical="center"/>
    </xf>
    <xf numFmtId="3" fontId="28" fillId="4" borderId="1" xfId="0" applyNumberFormat="1" applyFont="1" applyFill="1" applyBorder="1" applyAlignment="1">
      <alignment horizontal="right" vertical="center" indent="1"/>
    </xf>
    <xf numFmtId="0" fontId="12" fillId="3" borderId="19" xfId="0" applyFont="1" applyFill="1" applyBorder="1" applyAlignment="1">
      <alignment horizontal="left" vertical="center" indent="1"/>
    </xf>
    <xf numFmtId="1" fontId="22" fillId="5" borderId="53" xfId="0" applyNumberFormat="1" applyFont="1" applyFill="1" applyBorder="1" applyAlignment="1">
      <alignment horizontal="center" vertical="center"/>
    </xf>
    <xf numFmtId="1" fontId="22" fillId="5" borderId="58" xfId="0" applyNumberFormat="1" applyFont="1" applyFill="1" applyBorder="1" applyAlignment="1">
      <alignment horizontal="center" vertical="center"/>
    </xf>
    <xf numFmtId="1" fontId="22" fillId="5" borderId="38" xfId="0" applyNumberFormat="1" applyFont="1" applyFill="1" applyBorder="1" applyAlignment="1">
      <alignment horizontal="center" vertical="center"/>
    </xf>
    <xf numFmtId="1" fontId="22" fillId="5" borderId="52" xfId="0" applyNumberFormat="1" applyFont="1" applyFill="1" applyBorder="1" applyAlignment="1">
      <alignment horizontal="center" vertical="center"/>
    </xf>
    <xf numFmtId="0" fontId="22" fillId="5" borderId="53" xfId="0" applyNumberFormat="1" applyFont="1" applyFill="1" applyBorder="1" applyAlignment="1">
      <alignment horizontal="center" vertical="center"/>
    </xf>
    <xf numFmtId="0" fontId="22" fillId="5" borderId="39" xfId="0" applyFont="1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/>
    </xf>
    <xf numFmtId="3" fontId="0" fillId="5" borderId="57" xfId="0" applyNumberFormat="1" applyFont="1" applyFill="1" applyBorder="1" applyAlignment="1">
      <alignment horizontal="center" vertical="center"/>
    </xf>
    <xf numFmtId="3" fontId="0" fillId="5" borderId="66" xfId="0" applyNumberFormat="1" applyFont="1" applyFill="1" applyBorder="1" applyAlignment="1">
      <alignment horizontal="center" vertical="center"/>
    </xf>
    <xf numFmtId="3" fontId="0" fillId="5" borderId="51" xfId="0" applyNumberFormat="1" applyFont="1" applyFill="1" applyBorder="1" applyAlignment="1">
      <alignment horizontal="center" vertical="center"/>
    </xf>
    <xf numFmtId="3" fontId="0" fillId="5" borderId="20" xfId="0" applyNumberFormat="1" applyFont="1" applyFill="1" applyBorder="1" applyAlignment="1">
      <alignment horizontal="center" vertical="center"/>
    </xf>
    <xf numFmtId="3" fontId="0" fillId="5" borderId="4" xfId="0" applyNumberFormat="1" applyFont="1" applyFill="1" applyBorder="1" applyAlignment="1">
      <alignment horizontal="center" vertical="center"/>
    </xf>
    <xf numFmtId="0" fontId="16" fillId="6" borderId="60" xfId="0" applyFont="1" applyFill="1" applyBorder="1" applyAlignment="1">
      <alignment horizontal="left" vertical="center" indent="1"/>
    </xf>
    <xf numFmtId="0" fontId="43" fillId="6" borderId="132" xfId="0" applyFont="1" applyFill="1" applyBorder="1" applyAlignment="1">
      <alignment horizontal="center" vertical="center"/>
    </xf>
    <xf numFmtId="0" fontId="43" fillId="6" borderId="28" xfId="0" applyFont="1" applyFill="1" applyBorder="1" applyAlignment="1">
      <alignment horizontal="center" vertical="center"/>
    </xf>
    <xf numFmtId="0" fontId="0" fillId="6" borderId="89" xfId="0" applyFont="1" applyFill="1" applyBorder="1" applyAlignment="1">
      <alignment horizontal="center" vertical="center"/>
    </xf>
    <xf numFmtId="3" fontId="0" fillId="5" borderId="42" xfId="0" applyNumberFormat="1" applyFont="1" applyFill="1" applyBorder="1" applyAlignment="1">
      <alignment horizontal="center" vertical="center"/>
    </xf>
    <xf numFmtId="1" fontId="16" fillId="4" borderId="1" xfId="0" applyNumberFormat="1" applyFont="1" applyFill="1" applyBorder="1" applyAlignment="1">
      <alignment horizontal="center" vertical="center"/>
    </xf>
    <xf numFmtId="3" fontId="28" fillId="4" borderId="64" xfId="0" applyNumberFormat="1" applyFont="1" applyFill="1" applyBorder="1" applyAlignment="1">
      <alignment horizontal="center" vertical="center"/>
    </xf>
    <xf numFmtId="0" fontId="28" fillId="4" borderId="97" xfId="0" applyFont="1" applyFill="1" applyBorder="1" applyAlignment="1">
      <alignment horizontal="right" vertical="center" indent="1"/>
    </xf>
    <xf numFmtId="0" fontId="46" fillId="4" borderId="29" xfId="0" applyFont="1" applyFill="1" applyBorder="1" applyAlignment="1">
      <alignment horizontal="center" vertical="center"/>
    </xf>
    <xf numFmtId="0" fontId="46" fillId="4" borderId="128" xfId="0" applyFont="1" applyFill="1" applyBorder="1" applyAlignment="1">
      <alignment horizontal="right" vertical="center" indent="1"/>
    </xf>
    <xf numFmtId="0" fontId="32" fillId="4" borderId="64" xfId="0" applyFont="1" applyFill="1" applyBorder="1" applyAlignment="1">
      <alignment horizontal="center" vertical="center"/>
    </xf>
    <xf numFmtId="0" fontId="42" fillId="4" borderId="29" xfId="0" applyFont="1" applyFill="1" applyBorder="1" applyAlignment="1">
      <alignment horizontal="center" vertical="center"/>
    </xf>
    <xf numFmtId="0" fontId="36" fillId="5" borderId="0" xfId="0" applyFont="1" applyFill="1" applyBorder="1" applyAlignment="1">
      <alignment horizontal="center" vertical="center"/>
    </xf>
    <xf numFmtId="0" fontId="43" fillId="5" borderId="0" xfId="0" applyFont="1" applyFill="1" applyBorder="1" applyAlignment="1">
      <alignment horizontal="center" vertical="center"/>
    </xf>
    <xf numFmtId="0" fontId="28" fillId="5" borderId="0" xfId="0" applyFont="1" applyFill="1" applyBorder="1" applyAlignment="1">
      <alignment horizontal="right" vertical="center" indent="1"/>
    </xf>
    <xf numFmtId="0" fontId="46" fillId="5" borderId="0" xfId="0" applyFont="1" applyFill="1" applyBorder="1" applyAlignment="1">
      <alignment horizontal="center" vertical="center"/>
    </xf>
    <xf numFmtId="0" fontId="46" fillId="5" borderId="0" xfId="0" applyFont="1" applyFill="1" applyBorder="1" applyAlignment="1">
      <alignment horizontal="right" vertical="center" indent="1"/>
    </xf>
    <xf numFmtId="0" fontId="18" fillId="6" borderId="77" xfId="0" applyFont="1" applyFill="1" applyBorder="1" applyAlignment="1">
      <alignment horizontal="center" vertical="center"/>
    </xf>
    <xf numFmtId="3" fontId="18" fillId="6" borderId="78" xfId="0" applyNumberFormat="1" applyFont="1" applyFill="1" applyBorder="1" applyAlignment="1">
      <alignment horizontal="center" vertical="center"/>
    </xf>
    <xf numFmtId="0" fontId="13" fillId="6" borderId="78" xfId="0" applyFont="1" applyFill="1" applyBorder="1" applyAlignment="1">
      <alignment horizontal="left" vertical="center" indent="2"/>
    </xf>
    <xf numFmtId="0" fontId="18" fillId="6" borderId="78" xfId="0" applyFont="1" applyFill="1" applyBorder="1" applyAlignment="1">
      <alignment horizontal="center" vertical="center"/>
    </xf>
    <xf numFmtId="0" fontId="18" fillId="6" borderId="79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center"/>
    </xf>
    <xf numFmtId="0" fontId="0" fillId="5" borderId="0" xfId="0" applyFont="1" applyFill="1" applyBorder="1" applyAlignment="1">
      <alignment horizontal="left" vertical="center"/>
    </xf>
    <xf numFmtId="3" fontId="0" fillId="2" borderId="134" xfId="0" applyNumberFormat="1" applyFont="1" applyFill="1" applyBorder="1" applyAlignment="1">
      <alignment horizontal="left" vertical="center" indent="1"/>
    </xf>
    <xf numFmtId="0" fontId="0" fillId="2" borderId="135" xfId="0" applyFont="1" applyFill="1" applyBorder="1" applyAlignment="1">
      <alignment horizontal="right" vertical="center" indent="1"/>
    </xf>
    <xf numFmtId="3" fontId="22" fillId="2" borderId="106" xfId="0" applyNumberFormat="1" applyFont="1" applyFill="1" applyBorder="1" applyAlignment="1">
      <alignment horizontal="left" vertical="center" indent="1"/>
    </xf>
    <xf numFmtId="3" fontId="0" fillId="5" borderId="136" xfId="0" applyNumberFormat="1" applyFont="1" applyFill="1" applyBorder="1" applyAlignment="1">
      <alignment horizontal="left" vertical="center" indent="1"/>
    </xf>
    <xf numFmtId="0" fontId="18" fillId="5" borderId="0" xfId="0" applyFont="1" applyFill="1" applyAlignment="1">
      <alignment horizontal="left" vertical="center"/>
    </xf>
    <xf numFmtId="3" fontId="18" fillId="5" borderId="0" xfId="0" applyNumberFormat="1" applyFont="1" applyFill="1" applyAlignment="1">
      <alignment horizontal="left" vertical="center"/>
    </xf>
    <xf numFmtId="3" fontId="0" fillId="5" borderId="0" xfId="0" applyNumberFormat="1" applyFont="1" applyFill="1" applyAlignment="1">
      <alignment vertical="center"/>
    </xf>
    <xf numFmtId="2" fontId="18" fillId="5" borderId="0" xfId="0" applyNumberFormat="1" applyFont="1" applyFill="1" applyAlignment="1">
      <alignment horizontal="center" vertical="center"/>
    </xf>
    <xf numFmtId="2" fontId="15" fillId="5" borderId="0" xfId="0" applyNumberFormat="1" applyFont="1" applyFill="1" applyBorder="1" applyAlignment="1">
      <alignment vertical="center"/>
    </xf>
    <xf numFmtId="2" fontId="0" fillId="5" borderId="0" xfId="0" applyNumberFormat="1" applyFont="1" applyFill="1" applyBorder="1" applyAlignment="1">
      <alignment vertical="center"/>
    </xf>
    <xf numFmtId="2" fontId="0" fillId="3" borderId="1" xfId="0" applyNumberFormat="1" applyFont="1" applyFill="1" applyBorder="1" applyAlignment="1">
      <alignment horizontal="center" vertical="center"/>
    </xf>
    <xf numFmtId="2" fontId="18" fillId="5" borderId="0" xfId="0" applyNumberFormat="1" applyFont="1" applyFill="1" applyBorder="1" applyAlignment="1">
      <alignment vertical="center"/>
    </xf>
    <xf numFmtId="2" fontId="0" fillId="5" borderId="0" xfId="0" applyNumberFormat="1" applyFont="1" applyFill="1" applyBorder="1" applyAlignment="1">
      <alignment horizontal="left" vertical="center"/>
    </xf>
    <xf numFmtId="2" fontId="21" fillId="5" borderId="0" xfId="37" applyNumberFormat="1" applyFont="1" applyFill="1" applyBorder="1" applyAlignment="1">
      <alignment horizontal="left" vertical="center" indent="1"/>
    </xf>
    <xf numFmtId="2" fontId="21" fillId="5" borderId="0" xfId="37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2" fontId="25" fillId="5" borderId="0" xfId="0" applyNumberFormat="1" applyFont="1" applyFill="1" applyBorder="1" applyAlignment="1">
      <alignment horizontal="center" vertical="center"/>
    </xf>
    <xf numFmtId="0" fontId="25" fillId="5" borderId="0" xfId="0" applyFont="1" applyFill="1" applyBorder="1" applyAlignment="1">
      <alignment vertical="center"/>
    </xf>
    <xf numFmtId="166" fontId="50" fillId="5" borderId="0" xfId="0" applyNumberFormat="1" applyFont="1" applyFill="1" applyBorder="1" applyAlignment="1">
      <alignment horizontal="center" vertical="center"/>
    </xf>
    <xf numFmtId="0" fontId="25" fillId="5" borderId="0" xfId="0" applyFont="1" applyFill="1" applyAlignment="1">
      <alignment vertical="center"/>
    </xf>
    <xf numFmtId="0" fontId="34" fillId="5" borderId="0" xfId="0" applyFont="1" applyFill="1" applyBorder="1" applyAlignment="1">
      <alignment horizontal="center" vertical="center"/>
    </xf>
    <xf numFmtId="3" fontId="34" fillId="0" borderId="0" xfId="0" applyNumberFormat="1" applyFont="1" applyBorder="1" applyAlignment="1">
      <alignment horizontal="center" vertical="center"/>
    </xf>
    <xf numFmtId="3" fontId="34" fillId="5" borderId="0" xfId="0" applyNumberFormat="1" applyFont="1" applyFill="1" applyBorder="1" applyAlignment="1">
      <alignment horizontal="center" vertical="center"/>
    </xf>
    <xf numFmtId="3" fontId="25" fillId="5" borderId="0" xfId="0" applyNumberFormat="1" applyFont="1" applyFill="1" applyAlignment="1">
      <alignment vertical="center"/>
    </xf>
    <xf numFmtId="0" fontId="25" fillId="5" borderId="0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left" vertical="center" indent="1"/>
    </xf>
    <xf numFmtId="0" fontId="25" fillId="5" borderId="0" xfId="0" applyFont="1" applyFill="1" applyBorder="1" applyAlignment="1">
      <alignment horizontal="center" vertical="center"/>
    </xf>
    <xf numFmtId="165" fontId="25" fillId="5" borderId="0" xfId="0" applyNumberFormat="1" applyFont="1" applyFill="1" applyBorder="1" applyAlignment="1">
      <alignment horizontal="left" vertical="center" indent="1"/>
    </xf>
    <xf numFmtId="3" fontId="25" fillId="5" borderId="0" xfId="0" applyNumberFormat="1" applyFont="1" applyFill="1" applyAlignment="1">
      <alignment horizontal="center" vertical="center"/>
    </xf>
    <xf numFmtId="0" fontId="25" fillId="0" borderId="0" xfId="0" applyFont="1" applyBorder="1" applyAlignment="1"/>
    <xf numFmtId="0" fontId="25" fillId="5" borderId="0" xfId="0" applyFont="1" applyFill="1" applyAlignment="1">
      <alignment horizontal="left" vertical="center" indent="1"/>
    </xf>
    <xf numFmtId="0" fontId="25" fillId="5" borderId="0" xfId="0" applyFont="1" applyFill="1" applyBorder="1" applyAlignment="1">
      <alignment horizontal="left" vertical="center" indent="1"/>
    </xf>
    <xf numFmtId="3" fontId="25" fillId="5" borderId="0" xfId="0" applyNumberFormat="1" applyFont="1" applyFill="1" applyBorder="1" applyAlignment="1">
      <alignment horizontal="left" vertical="center" indent="1"/>
    </xf>
    <xf numFmtId="166" fontId="25" fillId="3" borderId="1" xfId="0" applyNumberFormat="1" applyFont="1" applyFill="1" applyBorder="1" applyAlignment="1">
      <alignment horizontal="center" vertical="center"/>
    </xf>
    <xf numFmtId="3" fontId="25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2" fontId="25" fillId="3" borderId="1" xfId="0" applyNumberFormat="1" applyFont="1" applyFill="1" applyBorder="1" applyAlignment="1">
      <alignment horizontal="center" vertical="center"/>
    </xf>
    <xf numFmtId="0" fontId="51" fillId="6" borderId="15" xfId="0" applyFont="1" applyFill="1" applyBorder="1" applyAlignment="1">
      <alignment horizontal="center" vertical="center"/>
    </xf>
    <xf numFmtId="3" fontId="25" fillId="5" borderId="0" xfId="0" applyNumberFormat="1" applyFont="1" applyFill="1" applyBorder="1" applyAlignment="1">
      <alignment horizontal="left" vertical="center"/>
    </xf>
    <xf numFmtId="3" fontId="25" fillId="5" borderId="0" xfId="0" applyNumberFormat="1" applyFont="1" applyFill="1" applyAlignment="1">
      <alignment horizontal="left" vertical="center"/>
    </xf>
    <xf numFmtId="4" fontId="25" fillId="5" borderId="1" xfId="0" applyNumberFormat="1" applyFont="1" applyFill="1" applyBorder="1" applyAlignment="1">
      <alignment horizontal="center" vertical="center"/>
    </xf>
    <xf numFmtId="3" fontId="35" fillId="0" borderId="0" xfId="0" applyNumberFormat="1" applyFont="1" applyBorder="1" applyAlignment="1">
      <alignment horizontal="center" vertical="center"/>
    </xf>
    <xf numFmtId="165" fontId="35" fillId="5" borderId="0" xfId="0" applyNumberFormat="1" applyFont="1" applyFill="1" applyBorder="1" applyAlignment="1">
      <alignment horizontal="center" vertical="center"/>
    </xf>
    <xf numFmtId="0" fontId="0" fillId="6" borderId="77" xfId="0" applyFont="1" applyFill="1" applyBorder="1" applyAlignment="1">
      <alignment horizontal="center" vertical="center"/>
    </xf>
    <xf numFmtId="166" fontId="0" fillId="6" borderId="78" xfId="0" applyNumberFormat="1" applyFont="1" applyFill="1" applyBorder="1" applyAlignment="1">
      <alignment horizontal="center" vertical="center"/>
    </xf>
    <xf numFmtId="3" fontId="0" fillId="6" borderId="78" xfId="0" applyNumberFormat="1" applyFont="1" applyFill="1" applyBorder="1" applyAlignment="1">
      <alignment horizontal="center" vertical="center"/>
    </xf>
    <xf numFmtId="0" fontId="0" fillId="6" borderId="78" xfId="0" applyFont="1" applyFill="1" applyBorder="1" applyAlignment="1">
      <alignment horizontal="center" vertical="center"/>
    </xf>
    <xf numFmtId="165" fontId="0" fillId="6" borderId="78" xfId="0" applyNumberFormat="1" applyFont="1" applyFill="1" applyBorder="1" applyAlignment="1">
      <alignment horizontal="center" vertical="center"/>
    </xf>
    <xf numFmtId="3" fontId="0" fillId="6" borderId="79" xfId="0" applyNumberFormat="1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3" fontId="0" fillId="6" borderId="26" xfId="0" applyNumberFormat="1" applyFont="1" applyFill="1" applyBorder="1" applyAlignment="1">
      <alignment horizontal="center" vertical="center"/>
    </xf>
    <xf numFmtId="3" fontId="13" fillId="5" borderId="19" xfId="0" applyNumberFormat="1" applyFont="1" applyFill="1" applyBorder="1" applyAlignment="1">
      <alignment horizontal="center" vertical="center"/>
    </xf>
    <xf numFmtId="165" fontId="0" fillId="5" borderId="15" xfId="0" applyNumberFormat="1" applyFont="1" applyFill="1" applyBorder="1" applyAlignment="1">
      <alignment horizontal="center" vertical="center"/>
    </xf>
    <xf numFmtId="3" fontId="13" fillId="5" borderId="21" xfId="0" applyNumberFormat="1" applyFont="1" applyFill="1" applyBorder="1" applyAlignment="1">
      <alignment horizontal="center" vertical="center"/>
    </xf>
    <xf numFmtId="165" fontId="0" fillId="5" borderId="22" xfId="0" applyNumberFormat="1" applyFont="1" applyFill="1" applyBorder="1" applyAlignment="1">
      <alignment horizontal="center" vertical="center"/>
    </xf>
    <xf numFmtId="167" fontId="23" fillId="11" borderId="22" xfId="38" applyNumberFormat="1" applyFont="1" applyFill="1" applyBorder="1" applyAlignment="1">
      <alignment horizontal="center" vertical="center"/>
    </xf>
    <xf numFmtId="2" fontId="0" fillId="5" borderId="0" xfId="0" applyNumberFormat="1" applyFont="1" applyFill="1" applyBorder="1" applyAlignment="1">
      <alignment horizontal="center" vertical="center"/>
    </xf>
    <xf numFmtId="2" fontId="21" fillId="5" borderId="22" xfId="37" applyNumberFormat="1" applyFont="1" applyFill="1" applyBorder="1" applyAlignment="1">
      <alignment horizontal="center" vertical="center"/>
    </xf>
    <xf numFmtId="2" fontId="21" fillId="5" borderId="15" xfId="37" applyNumberFormat="1" applyFont="1" applyFill="1" applyBorder="1" applyAlignment="1">
      <alignment horizontal="center" vertical="center"/>
    </xf>
    <xf numFmtId="166" fontId="18" fillId="5" borderId="0" xfId="0" applyNumberFormat="1" applyFont="1" applyFill="1" applyAlignment="1">
      <alignment horizontal="center" vertical="center"/>
    </xf>
    <xf numFmtId="166" fontId="18" fillId="5" borderId="0" xfId="0" applyNumberFormat="1" applyFont="1" applyFill="1" applyBorder="1" applyAlignment="1">
      <alignment horizontal="center" vertical="center"/>
    </xf>
    <xf numFmtId="166" fontId="22" fillId="6" borderId="18" xfId="0" applyNumberFormat="1" applyFont="1" applyFill="1" applyBorder="1" applyAlignment="1">
      <alignment horizontal="center" vertical="center"/>
    </xf>
    <xf numFmtId="166" fontId="19" fillId="6" borderId="57" xfId="0" applyNumberFormat="1" applyFont="1" applyFill="1" applyBorder="1" applyAlignment="1">
      <alignment horizontal="center" vertical="center"/>
    </xf>
    <xf numFmtId="166" fontId="18" fillId="6" borderId="18" xfId="0" applyNumberFormat="1" applyFont="1" applyFill="1" applyBorder="1" applyAlignment="1">
      <alignment horizontal="center" vertical="center"/>
    </xf>
    <xf numFmtId="166" fontId="18" fillId="6" borderId="57" xfId="0" applyNumberFormat="1" applyFont="1" applyFill="1" applyBorder="1" applyAlignment="1">
      <alignment horizontal="center" vertical="center"/>
    </xf>
    <xf numFmtId="166" fontId="18" fillId="5" borderId="22" xfId="0" applyNumberFormat="1" applyFont="1" applyFill="1" applyBorder="1" applyAlignment="1">
      <alignment horizontal="center" vertical="center"/>
    </xf>
    <xf numFmtId="166" fontId="0" fillId="0" borderId="27" xfId="0" applyNumberFormat="1" applyFont="1" applyBorder="1" applyAlignment="1">
      <alignment horizontal="left" vertical="center" indent="1"/>
    </xf>
    <xf numFmtId="166" fontId="18" fillId="5" borderId="15" xfId="0" applyNumberFormat="1" applyFont="1" applyFill="1" applyBorder="1" applyAlignment="1">
      <alignment horizontal="center" vertical="center"/>
    </xf>
    <xf numFmtId="3" fontId="28" fillId="4" borderId="137" xfId="0" applyNumberFormat="1" applyFont="1" applyFill="1" applyBorder="1" applyAlignment="1">
      <alignment horizontal="right" vertical="center" indent="1"/>
    </xf>
    <xf numFmtId="167" fontId="12" fillId="3" borderId="138" xfId="0" applyNumberFormat="1" applyFont="1" applyFill="1" applyBorder="1" applyAlignment="1">
      <alignment horizontal="center" vertical="center"/>
    </xf>
    <xf numFmtId="165" fontId="22" fillId="5" borderId="41" xfId="0" applyNumberFormat="1" applyFont="1" applyFill="1" applyBorder="1" applyAlignment="1">
      <alignment horizontal="right" vertical="center" indent="1"/>
    </xf>
    <xf numFmtId="3" fontId="22" fillId="5" borderId="41" xfId="0" applyNumberFormat="1" applyFont="1" applyFill="1" applyBorder="1" applyAlignment="1">
      <alignment horizontal="right" vertical="center" indent="1"/>
    </xf>
    <xf numFmtId="3" fontId="0" fillId="10" borderId="0" xfId="0" applyNumberFormat="1" applyFont="1" applyFill="1" applyAlignment="1">
      <alignment horizontal="left" vertical="center" indent="1"/>
    </xf>
    <xf numFmtId="0" fontId="0" fillId="10" borderId="0" xfId="0" applyFont="1" applyFill="1" applyAlignment="1">
      <alignment horizontal="center" vertical="center"/>
    </xf>
    <xf numFmtId="0" fontId="43" fillId="10" borderId="0" xfId="0" applyFont="1" applyFill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167" fontId="13" fillId="10" borderId="0" xfId="0" applyNumberFormat="1" applyFont="1" applyFill="1" applyAlignment="1">
      <alignment horizontal="center" vertical="center"/>
    </xf>
    <xf numFmtId="3" fontId="22" fillId="10" borderId="0" xfId="0" applyNumberFormat="1" applyFont="1" applyFill="1" applyAlignment="1">
      <alignment horizontal="right" vertical="center" indent="1"/>
    </xf>
    <xf numFmtId="165" fontId="22" fillId="10" borderId="0" xfId="0" applyNumberFormat="1" applyFont="1" applyFill="1" applyAlignment="1">
      <alignment horizontal="right" vertical="center" indent="1"/>
    </xf>
    <xf numFmtId="2" fontId="22" fillId="10" borderId="0" xfId="0" applyNumberFormat="1" applyFont="1" applyFill="1" applyAlignment="1">
      <alignment horizontal="right" vertical="center" indent="1"/>
    </xf>
    <xf numFmtId="167" fontId="28" fillId="10" borderId="0" xfId="0" applyNumberFormat="1" applyFont="1" applyFill="1" applyAlignment="1">
      <alignment horizontal="center" vertical="center"/>
    </xf>
    <xf numFmtId="2" fontId="0" fillId="10" borderId="0" xfId="0" applyNumberFormat="1" applyFont="1" applyFill="1" applyAlignment="1">
      <alignment horizontal="center" vertical="center"/>
    </xf>
    <xf numFmtId="3" fontId="0" fillId="10" borderId="0" xfId="0" applyNumberFormat="1" applyFont="1" applyFill="1" applyAlignment="1">
      <alignment horizontal="center" vertical="center"/>
    </xf>
    <xf numFmtId="0" fontId="0" fillId="10" borderId="0" xfId="0" applyFont="1" applyFill="1" applyAlignment="1">
      <alignment horizontal="left" vertical="center" indent="2"/>
    </xf>
    <xf numFmtId="3" fontId="0" fillId="10" borderId="0" xfId="0" applyNumberFormat="1" applyFont="1" applyFill="1" applyAlignment="1">
      <alignment horizontal="left" vertical="center" indent="2"/>
    </xf>
    <xf numFmtId="0" fontId="24" fillId="10" borderId="0" xfId="0" applyFont="1" applyFill="1" applyAlignment="1">
      <alignment horizontal="left" vertical="center" indent="2"/>
    </xf>
    <xf numFmtId="0" fontId="24" fillId="10" borderId="0" xfId="0" applyFont="1" applyFill="1" applyAlignment="1">
      <alignment horizontal="right" vertical="center" indent="1"/>
    </xf>
    <xf numFmtId="0" fontId="36" fillId="10" borderId="78" xfId="0" applyFont="1" applyFill="1" applyBorder="1" applyAlignment="1">
      <alignment horizontal="center" vertical="center"/>
    </xf>
    <xf numFmtId="0" fontId="36" fillId="10" borderId="79" xfId="0" applyFont="1" applyFill="1" applyBorder="1" applyAlignment="1">
      <alignment horizontal="center" vertical="center"/>
    </xf>
    <xf numFmtId="0" fontId="15" fillId="10" borderId="123" xfId="0" applyFont="1" applyFill="1" applyBorder="1" applyAlignment="1">
      <alignment horizontal="left" vertical="center" indent="2"/>
    </xf>
    <xf numFmtId="0" fontId="0" fillId="10" borderId="124" xfId="0" applyFont="1" applyFill="1" applyBorder="1" applyAlignment="1">
      <alignment horizontal="right" vertical="center" indent="1"/>
    </xf>
    <xf numFmtId="0" fontId="43" fillId="10" borderId="78" xfId="0" applyFont="1" applyFill="1" applyBorder="1" applyAlignment="1">
      <alignment horizontal="center" vertical="center"/>
    </xf>
    <xf numFmtId="0" fontId="22" fillId="10" borderId="78" xfId="0" applyFont="1" applyFill="1" applyBorder="1" applyAlignment="1">
      <alignment horizontal="center" vertical="center"/>
    </xf>
    <xf numFmtId="0" fontId="22" fillId="10" borderId="78" xfId="0" applyFont="1" applyFill="1" applyBorder="1" applyAlignment="1">
      <alignment vertical="center"/>
    </xf>
    <xf numFmtId="0" fontId="0" fillId="10" borderId="79" xfId="0" applyFont="1" applyFill="1" applyBorder="1" applyAlignment="1">
      <alignment horizontal="center" vertical="center"/>
    </xf>
    <xf numFmtId="0" fontId="12" fillId="10" borderId="77" xfId="0" applyFont="1" applyFill="1" applyBorder="1" applyAlignment="1">
      <alignment horizontal="center" vertical="center"/>
    </xf>
    <xf numFmtId="0" fontId="12" fillId="10" borderId="78" xfId="0" applyFont="1" applyFill="1" applyBorder="1" applyAlignment="1">
      <alignment horizontal="center" vertical="center"/>
    </xf>
    <xf numFmtId="3" fontId="32" fillId="10" borderId="0" xfId="0" applyNumberFormat="1" applyFont="1" applyFill="1" applyBorder="1" applyAlignment="1">
      <alignment horizontal="left" vertical="center" indent="1"/>
    </xf>
    <xf numFmtId="0" fontId="43" fillId="10" borderId="22" xfId="0" applyFont="1" applyFill="1" applyBorder="1" applyAlignment="1">
      <alignment horizontal="center" vertical="center"/>
    </xf>
    <xf numFmtId="0" fontId="43" fillId="10" borderId="4" xfId="0" applyFont="1" applyFill="1" applyBorder="1" applyAlignment="1">
      <alignment horizontal="center" vertical="center"/>
    </xf>
    <xf numFmtId="0" fontId="29" fillId="10" borderId="22" xfId="0" applyFont="1" applyFill="1" applyBorder="1" applyAlignment="1">
      <alignment horizontal="center" vertical="center"/>
    </xf>
    <xf numFmtId="49" fontId="22" fillId="10" borderId="22" xfId="0" applyNumberFormat="1" applyFont="1" applyFill="1" applyBorder="1" applyAlignment="1">
      <alignment horizontal="center" vertical="center"/>
    </xf>
    <xf numFmtId="0" fontId="22" fillId="10" borderId="4" xfId="0" applyFont="1" applyFill="1" applyBorder="1" applyAlignment="1">
      <alignment horizontal="center" vertical="center"/>
    </xf>
    <xf numFmtId="0" fontId="12" fillId="10" borderId="21" xfId="0" applyFont="1" applyFill="1" applyBorder="1" applyAlignment="1">
      <alignment horizontal="center" vertical="center"/>
    </xf>
    <xf numFmtId="0" fontId="12" fillId="10" borderId="22" xfId="0" applyFont="1" applyFill="1" applyBorder="1" applyAlignment="1">
      <alignment horizontal="center" vertical="center"/>
    </xf>
    <xf numFmtId="0" fontId="0" fillId="10" borderId="24" xfId="0" applyFont="1" applyFill="1" applyBorder="1" applyAlignment="1">
      <alignment horizontal="center" vertical="center"/>
    </xf>
    <xf numFmtId="0" fontId="12" fillId="10" borderId="41" xfId="0" applyFont="1" applyFill="1" applyBorder="1" applyAlignment="1">
      <alignment horizontal="center" vertical="center"/>
    </xf>
    <xf numFmtId="0" fontId="13" fillId="10" borderId="41" xfId="0" applyFont="1" applyFill="1" applyBorder="1" applyAlignment="1">
      <alignment horizontal="center" vertical="center"/>
    </xf>
    <xf numFmtId="167" fontId="28" fillId="10" borderId="41" xfId="0" applyNumberFormat="1" applyFont="1" applyFill="1" applyBorder="1" applyAlignment="1">
      <alignment horizontal="center" vertical="center"/>
    </xf>
    <xf numFmtId="0" fontId="22" fillId="10" borderId="43" xfId="0" applyFont="1" applyFill="1" applyBorder="1" applyAlignment="1">
      <alignment horizontal="right" vertical="center" indent="1"/>
    </xf>
    <xf numFmtId="0" fontId="0" fillId="10" borderId="14" xfId="0" applyFont="1" applyFill="1" applyBorder="1" applyAlignment="1">
      <alignment horizontal="right" vertical="center" indent="1"/>
    </xf>
    <xf numFmtId="0" fontId="22" fillId="10" borderId="14" xfId="0" applyFont="1" applyFill="1" applyBorder="1" applyAlignment="1">
      <alignment horizontal="right" vertical="center" indent="1"/>
    </xf>
    <xf numFmtId="3" fontId="22" fillId="10" borderId="98" xfId="0" applyNumberFormat="1" applyFont="1" applyFill="1" applyBorder="1" applyAlignment="1">
      <alignment horizontal="left" vertical="center" indent="1"/>
    </xf>
    <xf numFmtId="0" fontId="0" fillId="10" borderId="75" xfId="0" applyFont="1" applyFill="1" applyBorder="1" applyAlignment="1">
      <alignment horizontal="right" vertical="center" indent="1"/>
    </xf>
    <xf numFmtId="0" fontId="0" fillId="10" borderId="50" xfId="0" applyFont="1" applyFill="1" applyBorder="1" applyAlignment="1">
      <alignment horizontal="right" vertical="center" indent="1"/>
    </xf>
    <xf numFmtId="0" fontId="0" fillId="10" borderId="43" xfId="0" applyFont="1" applyFill="1" applyBorder="1" applyAlignment="1">
      <alignment horizontal="right" vertical="center" indent="1"/>
    </xf>
    <xf numFmtId="0" fontId="22" fillId="10" borderId="44" xfId="0" applyFont="1" applyFill="1" applyBorder="1" applyAlignment="1">
      <alignment horizontal="right" vertical="center" indent="1"/>
    </xf>
    <xf numFmtId="3" fontId="22" fillId="10" borderId="109" xfId="0" applyNumberFormat="1" applyFont="1" applyFill="1" applyBorder="1" applyAlignment="1">
      <alignment horizontal="center" vertical="center"/>
    </xf>
    <xf numFmtId="3" fontId="22" fillId="10" borderId="80" xfId="0" applyNumberFormat="1" applyFont="1" applyFill="1" applyBorder="1" applyAlignment="1">
      <alignment horizontal="center" vertical="center"/>
    </xf>
    <xf numFmtId="3" fontId="12" fillId="7" borderId="77" xfId="0" applyNumberFormat="1" applyFont="1" applyFill="1" applyBorder="1" applyAlignment="1">
      <alignment horizontal="right" vertical="center" indent="1"/>
    </xf>
    <xf numFmtId="0" fontId="12" fillId="6" borderId="34" xfId="0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/>
    </xf>
    <xf numFmtId="0" fontId="28" fillId="6" borderId="35" xfId="0" applyFont="1" applyFill="1" applyBorder="1" applyAlignment="1">
      <alignment horizontal="right" vertical="center" indent="1"/>
    </xf>
    <xf numFmtId="0" fontId="44" fillId="10" borderId="43" xfId="0" applyFont="1" applyFill="1" applyBorder="1" applyAlignment="1">
      <alignment horizontal="right" vertical="center" indent="1"/>
    </xf>
    <xf numFmtId="0" fontId="27" fillId="10" borderId="14" xfId="0" applyFont="1" applyFill="1" applyBorder="1" applyAlignment="1">
      <alignment horizontal="right" vertical="center" indent="1"/>
    </xf>
    <xf numFmtId="0" fontId="32" fillId="10" borderId="14" xfId="0" applyFont="1" applyFill="1" applyBorder="1" applyAlignment="1">
      <alignment horizontal="right" vertical="center" indent="1"/>
    </xf>
    <xf numFmtId="0" fontId="0" fillId="10" borderId="8" xfId="0" applyFont="1" applyFill="1" applyBorder="1" applyAlignment="1">
      <alignment horizontal="right" vertical="center" indent="1"/>
    </xf>
    <xf numFmtId="0" fontId="0" fillId="10" borderId="0" xfId="0" applyFont="1" applyFill="1" applyBorder="1" applyAlignment="1">
      <alignment horizontal="right" vertical="center" indent="1"/>
    </xf>
    <xf numFmtId="0" fontId="13" fillId="10" borderId="15" xfId="0" applyFont="1" applyFill="1" applyBorder="1" applyAlignment="1">
      <alignment horizontal="center" vertical="center"/>
    </xf>
    <xf numFmtId="167" fontId="28" fillId="10" borderId="26" xfId="0" applyNumberFormat="1" applyFont="1" applyFill="1" applyBorder="1" applyAlignment="1">
      <alignment horizontal="center" vertical="center"/>
    </xf>
    <xf numFmtId="0" fontId="22" fillId="10" borderId="0" xfId="0" applyFont="1" applyFill="1" applyBorder="1" applyAlignment="1">
      <alignment horizontal="right" vertical="center" indent="1"/>
    </xf>
    <xf numFmtId="0" fontId="13" fillId="10" borderId="51" xfId="0" applyFont="1" applyFill="1" applyBorder="1" applyAlignment="1">
      <alignment horizontal="center" vertical="center"/>
    </xf>
    <xf numFmtId="167" fontId="28" fillId="10" borderId="20" xfId="0" applyNumberFormat="1" applyFont="1" applyFill="1" applyBorder="1" applyAlignment="1">
      <alignment horizontal="center" vertical="center"/>
    </xf>
    <xf numFmtId="3" fontId="12" fillId="7" borderId="60" xfId="0" applyNumberFormat="1" applyFont="1" applyFill="1" applyBorder="1" applyAlignment="1">
      <alignment horizontal="right" vertical="center" indent="1"/>
    </xf>
    <xf numFmtId="0" fontId="12" fillId="6" borderId="60" xfId="0" applyFont="1" applyFill="1" applyBorder="1" applyAlignment="1">
      <alignment horizontal="center" vertical="center"/>
    </xf>
    <xf numFmtId="0" fontId="13" fillId="6" borderId="54" xfId="0" applyFont="1" applyFill="1" applyBorder="1" applyAlignment="1">
      <alignment horizontal="center" vertical="center"/>
    </xf>
    <xf numFmtId="0" fontId="28" fillId="6" borderId="54" xfId="0" applyFont="1" applyFill="1" applyBorder="1" applyAlignment="1">
      <alignment horizontal="right" vertical="center" indent="1"/>
    </xf>
    <xf numFmtId="0" fontId="0" fillId="10" borderId="10" xfId="0" applyFont="1" applyFill="1" applyBorder="1" applyAlignment="1">
      <alignment horizontal="right" vertical="center" indent="1"/>
    </xf>
    <xf numFmtId="0" fontId="0" fillId="10" borderId="11" xfId="0" applyFont="1" applyFill="1" applyBorder="1" applyAlignment="1">
      <alignment horizontal="right" vertical="center" indent="1"/>
    </xf>
    <xf numFmtId="167" fontId="28" fillId="10" borderId="42" xfId="0" applyNumberFormat="1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right" vertical="center" indent="1"/>
    </xf>
    <xf numFmtId="0" fontId="0" fillId="10" borderId="6" xfId="0" applyFont="1" applyFill="1" applyBorder="1" applyAlignment="1">
      <alignment horizontal="right" vertical="center" indent="1"/>
    </xf>
    <xf numFmtId="0" fontId="0" fillId="10" borderId="0" xfId="0" applyFont="1" applyFill="1" applyBorder="1" applyAlignment="1">
      <alignment horizontal="right" vertical="center"/>
    </xf>
    <xf numFmtId="0" fontId="13" fillId="10" borderId="57" xfId="0" applyFont="1" applyFill="1" applyBorder="1" applyAlignment="1">
      <alignment horizontal="center" vertical="center"/>
    </xf>
    <xf numFmtId="167" fontId="28" fillId="10" borderId="66" xfId="0" applyNumberFormat="1" applyFont="1" applyFill="1" applyBorder="1" applyAlignment="1">
      <alignment horizontal="center" vertical="center"/>
    </xf>
    <xf numFmtId="0" fontId="0" fillId="10" borderId="76" xfId="0" applyFont="1" applyFill="1" applyBorder="1" applyAlignment="1">
      <alignment horizontal="right" vertical="center" indent="1"/>
    </xf>
    <xf numFmtId="3" fontId="12" fillId="7" borderId="34" xfId="0" applyNumberFormat="1" applyFont="1" applyFill="1" applyBorder="1" applyAlignment="1">
      <alignment horizontal="right" vertical="center" indent="1"/>
    </xf>
    <xf numFmtId="0" fontId="22" fillId="10" borderId="78" xfId="0" applyFont="1" applyFill="1" applyBorder="1" applyAlignment="1">
      <alignment horizontal="right" vertical="center" indent="1"/>
    </xf>
    <xf numFmtId="0" fontId="0" fillId="10" borderId="78" xfId="0" applyFont="1" applyFill="1" applyBorder="1" applyAlignment="1">
      <alignment horizontal="right" vertical="center" indent="1"/>
    </xf>
    <xf numFmtId="0" fontId="22" fillId="10" borderId="79" xfId="0" applyFont="1" applyFill="1" applyBorder="1" applyAlignment="1">
      <alignment horizontal="center" vertical="center"/>
    </xf>
    <xf numFmtId="0" fontId="0" fillId="10" borderId="0" xfId="0" applyFont="1" applyFill="1" applyAlignment="1">
      <alignment horizontal="left" vertical="center" indent="1"/>
    </xf>
    <xf numFmtId="0" fontId="27" fillId="10" borderId="5" xfId="0" applyFont="1" applyFill="1" applyBorder="1" applyAlignment="1">
      <alignment horizontal="right" vertical="center" indent="1"/>
    </xf>
    <xf numFmtId="0" fontId="27" fillId="10" borderId="6" xfId="0" applyFont="1" applyFill="1" applyBorder="1" applyAlignment="1">
      <alignment horizontal="right" vertical="center" indent="1"/>
    </xf>
    <xf numFmtId="0" fontId="36" fillId="10" borderId="48" xfId="0" applyFont="1" applyFill="1" applyBorder="1" applyAlignment="1">
      <alignment horizontal="right" vertical="center" indent="1"/>
    </xf>
    <xf numFmtId="0" fontId="0" fillId="10" borderId="27" xfId="0" applyFont="1" applyFill="1" applyBorder="1" applyAlignment="1">
      <alignment horizontal="right" vertical="center" indent="1"/>
    </xf>
    <xf numFmtId="0" fontId="22" fillId="10" borderId="8" xfId="0" applyFont="1" applyFill="1" applyBorder="1" applyAlignment="1">
      <alignment horizontal="right" vertical="center" indent="1"/>
    </xf>
    <xf numFmtId="3" fontId="12" fillId="6" borderId="34" xfId="0" applyNumberFormat="1" applyFont="1" applyFill="1" applyBorder="1" applyAlignment="1">
      <alignment horizontal="right" vertical="center" indent="1"/>
    </xf>
    <xf numFmtId="0" fontId="0" fillId="10" borderId="49" xfId="0" applyFont="1" applyFill="1" applyBorder="1" applyAlignment="1">
      <alignment horizontal="right" vertical="center" indent="1"/>
    </xf>
    <xf numFmtId="0" fontId="13" fillId="10" borderId="22" xfId="0" applyFont="1" applyFill="1" applyBorder="1" applyAlignment="1">
      <alignment horizontal="center" vertical="center"/>
    </xf>
    <xf numFmtId="167" fontId="28" fillId="10" borderId="4" xfId="0" applyNumberFormat="1" applyFont="1" applyFill="1" applyBorder="1" applyAlignment="1">
      <alignment horizontal="center" vertical="center"/>
    </xf>
    <xf numFmtId="3" fontId="0" fillId="6" borderId="77" xfId="0" applyNumberFormat="1" applyFont="1" applyFill="1" applyBorder="1" applyAlignment="1">
      <alignment horizontal="center" vertical="center"/>
    </xf>
    <xf numFmtId="4" fontId="0" fillId="6" borderId="79" xfId="0" applyNumberFormat="1" applyFont="1" applyFill="1" applyBorder="1" applyAlignment="1">
      <alignment horizontal="center" vertical="center"/>
    </xf>
    <xf numFmtId="3" fontId="22" fillId="3" borderId="19" xfId="0" applyNumberFormat="1" applyFont="1" applyFill="1" applyBorder="1" applyAlignment="1">
      <alignment horizontal="center" vertical="center"/>
    </xf>
    <xf numFmtId="3" fontId="22" fillId="3" borderId="26" xfId="0" applyNumberFormat="1" applyFont="1" applyFill="1" applyBorder="1" applyAlignment="1">
      <alignment horizontal="center" vertical="center"/>
    </xf>
    <xf numFmtId="3" fontId="0" fillId="6" borderId="19" xfId="0" applyNumberFormat="1" applyFont="1" applyFill="1" applyBorder="1" applyAlignment="1">
      <alignment horizontal="center" vertical="center"/>
    </xf>
    <xf numFmtId="4" fontId="0" fillId="6" borderId="26" xfId="0" applyNumberFormat="1" applyFont="1" applyFill="1" applyBorder="1" applyAlignment="1">
      <alignment horizontal="center" vertical="center"/>
    </xf>
    <xf numFmtId="3" fontId="22" fillId="3" borderId="21" xfId="0" applyNumberFormat="1" applyFont="1" applyFill="1" applyBorder="1" applyAlignment="1">
      <alignment horizontal="center" vertical="center"/>
    </xf>
    <xf numFmtId="3" fontId="22" fillId="3" borderId="4" xfId="0" applyNumberFormat="1" applyFont="1" applyFill="1" applyBorder="1" applyAlignment="1">
      <alignment horizontal="center" vertical="center"/>
    </xf>
    <xf numFmtId="3" fontId="22" fillId="10" borderId="78" xfId="0" applyNumberFormat="1" applyFont="1" applyFill="1" applyBorder="1" applyAlignment="1">
      <alignment horizontal="center" vertical="center"/>
    </xf>
    <xf numFmtId="3" fontId="22" fillId="10" borderId="79" xfId="0" applyNumberFormat="1" applyFont="1" applyFill="1" applyBorder="1" applyAlignment="1">
      <alignment horizontal="center" vertical="center"/>
    </xf>
    <xf numFmtId="4" fontId="22" fillId="3" borderId="22" xfId="0" applyNumberFormat="1" applyFont="1" applyFill="1" applyBorder="1" applyAlignment="1">
      <alignment horizontal="center" vertical="center"/>
    </xf>
    <xf numFmtId="3" fontId="0" fillId="10" borderId="4" xfId="0" applyNumberFormat="1" applyFont="1" applyFill="1" applyBorder="1" applyAlignment="1">
      <alignment horizontal="center" vertical="center"/>
    </xf>
    <xf numFmtId="3" fontId="22" fillId="4" borderId="22" xfId="0" applyNumberFormat="1" applyFont="1" applyFill="1" applyBorder="1" applyAlignment="1">
      <alignment horizontal="center" vertical="center"/>
    </xf>
    <xf numFmtId="167" fontId="53" fillId="10" borderId="0" xfId="0" applyNumberFormat="1" applyFont="1" applyFill="1" applyAlignment="1">
      <alignment horizontal="center" vertical="center"/>
    </xf>
    <xf numFmtId="167" fontId="53" fillId="5" borderId="0" xfId="0" applyNumberFormat="1" applyFont="1" applyFill="1" applyAlignment="1">
      <alignment horizontal="center" vertical="center"/>
    </xf>
    <xf numFmtId="165" fontId="22" fillId="5" borderId="0" xfId="0" applyNumberFormat="1" applyFont="1" applyFill="1" applyAlignment="1">
      <alignment horizontal="center" vertical="center"/>
    </xf>
    <xf numFmtId="165" fontId="15" fillId="10" borderId="0" xfId="0" applyNumberFormat="1" applyFont="1" applyFill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right" vertical="center" indent="1"/>
    </xf>
    <xf numFmtId="2" fontId="22" fillId="5" borderId="0" xfId="0" applyNumberFormat="1" applyFont="1" applyFill="1" applyAlignment="1">
      <alignment horizontal="right" vertical="center" indent="1"/>
    </xf>
    <xf numFmtId="2" fontId="0" fillId="5" borderId="0" xfId="0" applyNumberFormat="1" applyFont="1" applyFill="1" applyBorder="1" applyAlignment="1">
      <alignment horizontal="right" vertical="center" indent="1"/>
    </xf>
    <xf numFmtId="1" fontId="30" fillId="5" borderId="35" xfId="0" applyNumberFormat="1" applyFont="1" applyFill="1" applyBorder="1" applyAlignment="1">
      <alignment horizontal="left" vertical="center" indent="1"/>
    </xf>
    <xf numFmtId="1" fontId="30" fillId="5" borderId="22" xfId="0" applyNumberFormat="1" applyFont="1" applyFill="1" applyBorder="1" applyAlignment="1">
      <alignment horizontal="left" vertical="center" indent="1"/>
    </xf>
    <xf numFmtId="1" fontId="30" fillId="5" borderId="15" xfId="0" applyNumberFormat="1" applyFont="1" applyFill="1" applyBorder="1" applyAlignment="1">
      <alignment horizontal="left" vertical="center" indent="1"/>
    </xf>
    <xf numFmtId="3" fontId="22" fillId="10" borderId="0" xfId="0" applyNumberFormat="1" applyFont="1" applyFill="1" applyBorder="1" applyAlignment="1">
      <alignment horizontal="center" vertical="center"/>
    </xf>
    <xf numFmtId="3" fontId="0" fillId="10" borderId="0" xfId="0" applyNumberFormat="1" applyFont="1" applyFill="1" applyBorder="1" applyAlignment="1">
      <alignment horizontal="center" vertical="center"/>
    </xf>
    <xf numFmtId="4" fontId="0" fillId="6" borderId="0" xfId="0" applyNumberFormat="1" applyFont="1" applyFill="1" applyBorder="1" applyAlignment="1">
      <alignment horizontal="center" vertical="center"/>
    </xf>
    <xf numFmtId="3" fontId="22" fillId="3" borderId="0" xfId="0" applyNumberFormat="1" applyFont="1" applyFill="1" applyBorder="1" applyAlignment="1">
      <alignment horizontal="center" vertical="center"/>
    </xf>
    <xf numFmtId="2" fontId="18" fillId="10" borderId="0" xfId="0" applyNumberFormat="1" applyFont="1" applyFill="1" applyAlignment="1">
      <alignment horizontal="center" vertical="center"/>
    </xf>
    <xf numFmtId="3" fontId="18" fillId="10" borderId="0" xfId="0" applyNumberFormat="1" applyFont="1" applyFill="1" applyAlignment="1">
      <alignment horizontal="center" vertical="center"/>
    </xf>
    <xf numFmtId="2" fontId="18" fillId="6" borderId="77" xfId="0" applyNumberFormat="1" applyFont="1" applyFill="1" applyBorder="1" applyAlignment="1">
      <alignment horizontal="center" vertical="center"/>
    </xf>
    <xf numFmtId="2" fontId="18" fillId="6" borderId="78" xfId="0" applyNumberFormat="1" applyFont="1" applyFill="1" applyBorder="1" applyAlignment="1">
      <alignment horizontal="center" vertical="center"/>
    </xf>
    <xf numFmtId="3" fontId="18" fillId="6" borderId="37" xfId="0" applyNumberFormat="1" applyFont="1" applyFill="1" applyBorder="1" applyAlignment="1">
      <alignment horizontal="center" vertical="center"/>
    </xf>
    <xf numFmtId="2" fontId="18" fillId="10" borderId="19" xfId="0" applyNumberFormat="1" applyFont="1" applyFill="1" applyBorder="1" applyAlignment="1">
      <alignment horizontal="center" vertical="center"/>
    </xf>
    <xf numFmtId="2" fontId="18" fillId="10" borderId="15" xfId="0" applyNumberFormat="1" applyFont="1" applyFill="1" applyBorder="1" applyAlignment="1">
      <alignment horizontal="center" vertical="center"/>
    </xf>
    <xf numFmtId="3" fontId="18" fillId="10" borderId="15" xfId="0" applyNumberFormat="1" applyFont="1" applyFill="1" applyBorder="1" applyAlignment="1">
      <alignment horizontal="center" vertical="center"/>
    </xf>
    <xf numFmtId="3" fontId="18" fillId="10" borderId="16" xfId="0" applyNumberFormat="1" applyFont="1" applyFill="1" applyBorder="1" applyAlignment="1">
      <alignment horizontal="center" vertical="center"/>
    </xf>
    <xf numFmtId="2" fontId="18" fillId="10" borderId="63" xfId="0" applyNumberFormat="1" applyFont="1" applyFill="1" applyBorder="1" applyAlignment="1">
      <alignment horizontal="center" vertical="center"/>
    </xf>
    <xf numFmtId="2" fontId="18" fillId="10" borderId="51" xfId="0" applyNumberFormat="1" applyFont="1" applyFill="1" applyBorder="1" applyAlignment="1">
      <alignment horizontal="center" vertical="center"/>
    </xf>
    <xf numFmtId="3" fontId="18" fillId="10" borderId="51" xfId="0" applyNumberFormat="1" applyFont="1" applyFill="1" applyBorder="1" applyAlignment="1">
      <alignment horizontal="center" vertical="center"/>
    </xf>
    <xf numFmtId="3" fontId="18" fillId="10" borderId="33" xfId="0" applyNumberFormat="1" applyFont="1" applyFill="1" applyBorder="1" applyAlignment="1">
      <alignment horizontal="center" vertical="center"/>
    </xf>
    <xf numFmtId="2" fontId="18" fillId="6" borderId="60" xfId="0" applyNumberFormat="1" applyFont="1" applyFill="1" applyBorder="1" applyAlignment="1">
      <alignment horizontal="center" vertical="center"/>
    </xf>
    <xf numFmtId="2" fontId="18" fillId="6" borderId="54" xfId="0" applyNumberFormat="1" applyFont="1" applyFill="1" applyBorder="1" applyAlignment="1">
      <alignment horizontal="center" vertical="center"/>
    </xf>
    <xf numFmtId="3" fontId="18" fillId="6" borderId="54" xfId="0" applyNumberFormat="1" applyFont="1" applyFill="1" applyBorder="1" applyAlignment="1">
      <alignment horizontal="center" vertical="center"/>
    </xf>
    <xf numFmtId="3" fontId="18" fillId="6" borderId="55" xfId="0" applyNumberFormat="1" applyFont="1" applyFill="1" applyBorder="1" applyAlignment="1">
      <alignment horizontal="center" vertical="center"/>
    </xf>
    <xf numFmtId="2" fontId="18" fillId="10" borderId="72" xfId="0" applyNumberFormat="1" applyFont="1" applyFill="1" applyBorder="1" applyAlignment="1">
      <alignment horizontal="center" vertical="center"/>
    </xf>
    <xf numFmtId="2" fontId="18" fillId="10" borderId="57" xfId="0" applyNumberFormat="1" applyFont="1" applyFill="1" applyBorder="1" applyAlignment="1">
      <alignment horizontal="center" vertical="center"/>
    </xf>
    <xf numFmtId="3" fontId="18" fillId="10" borderId="57" xfId="0" applyNumberFormat="1" applyFont="1" applyFill="1" applyBorder="1" applyAlignment="1">
      <alignment horizontal="center" vertical="center"/>
    </xf>
    <xf numFmtId="3" fontId="18" fillId="10" borderId="59" xfId="0" applyNumberFormat="1" applyFont="1" applyFill="1" applyBorder="1" applyAlignment="1">
      <alignment horizontal="center" vertical="center"/>
    </xf>
    <xf numFmtId="2" fontId="18" fillId="6" borderId="34" xfId="0" applyNumberFormat="1" applyFont="1" applyFill="1" applyBorder="1" applyAlignment="1">
      <alignment horizontal="center" vertical="center"/>
    </xf>
    <xf numFmtId="2" fontId="18" fillId="6" borderId="35" xfId="0" applyNumberFormat="1" applyFont="1" applyFill="1" applyBorder="1" applyAlignment="1">
      <alignment horizontal="center" vertical="center"/>
    </xf>
    <xf numFmtId="3" fontId="18" fillId="6" borderId="35" xfId="0" applyNumberFormat="1" applyFont="1" applyFill="1" applyBorder="1" applyAlignment="1">
      <alignment horizontal="center" vertical="center"/>
    </xf>
    <xf numFmtId="3" fontId="18" fillId="6" borderId="61" xfId="0" applyNumberFormat="1" applyFont="1" applyFill="1" applyBorder="1" applyAlignment="1">
      <alignment horizontal="center" vertical="center"/>
    </xf>
    <xf numFmtId="2" fontId="18" fillId="10" borderId="21" xfId="0" applyNumberFormat="1" applyFont="1" applyFill="1" applyBorder="1" applyAlignment="1">
      <alignment horizontal="center" vertical="center"/>
    </xf>
    <xf numFmtId="2" fontId="18" fillId="10" borderId="22" xfId="0" applyNumberFormat="1" applyFont="1" applyFill="1" applyBorder="1" applyAlignment="1">
      <alignment horizontal="center" vertical="center"/>
    </xf>
    <xf numFmtId="3" fontId="18" fillId="10" borderId="22" xfId="0" applyNumberFormat="1" applyFont="1" applyFill="1" applyBorder="1" applyAlignment="1">
      <alignment horizontal="center" vertical="center"/>
    </xf>
    <xf numFmtId="3" fontId="18" fillId="10" borderId="40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10" borderId="0" xfId="0" applyFont="1" applyFill="1" applyAlignment="1">
      <alignment horizontal="center" vertical="center"/>
    </xf>
    <xf numFmtId="165" fontId="18" fillId="7" borderId="77" xfId="0" applyNumberFormat="1" applyFont="1" applyFill="1" applyBorder="1" applyAlignment="1">
      <alignment horizontal="center" vertical="center"/>
    </xf>
    <xf numFmtId="2" fontId="18" fillId="7" borderId="78" xfId="0" applyNumberFormat="1" applyFont="1" applyFill="1" applyBorder="1" applyAlignment="1">
      <alignment horizontal="center" vertical="center"/>
    </xf>
    <xf numFmtId="166" fontId="18" fillId="7" borderId="37" xfId="0" applyNumberFormat="1" applyFont="1" applyFill="1" applyBorder="1" applyAlignment="1">
      <alignment horizontal="center" vertical="center"/>
    </xf>
    <xf numFmtId="165" fontId="18" fillId="10" borderId="19" xfId="0" applyNumberFormat="1" applyFont="1" applyFill="1" applyBorder="1" applyAlignment="1">
      <alignment horizontal="center" vertical="center"/>
    </xf>
    <xf numFmtId="166" fontId="18" fillId="10" borderId="16" xfId="0" applyNumberFormat="1" applyFont="1" applyFill="1" applyBorder="1" applyAlignment="1">
      <alignment horizontal="center" vertical="center"/>
    </xf>
    <xf numFmtId="165" fontId="18" fillId="7" borderId="60" xfId="0" applyNumberFormat="1" applyFont="1" applyFill="1" applyBorder="1" applyAlignment="1">
      <alignment horizontal="center" vertical="center"/>
    </xf>
    <xf numFmtId="2" fontId="18" fillId="7" borderId="54" xfId="0" applyNumberFormat="1" applyFont="1" applyFill="1" applyBorder="1" applyAlignment="1">
      <alignment horizontal="center" vertical="center"/>
    </xf>
    <xf numFmtId="166" fontId="18" fillId="7" borderId="55" xfId="0" applyNumberFormat="1" applyFont="1" applyFill="1" applyBorder="1" applyAlignment="1">
      <alignment horizontal="center" vertical="center"/>
    </xf>
    <xf numFmtId="165" fontId="18" fillId="10" borderId="67" xfId="0" applyNumberFormat="1" applyFont="1" applyFill="1" applyBorder="1" applyAlignment="1">
      <alignment horizontal="center" vertical="center"/>
    </xf>
    <xf numFmtId="165" fontId="18" fillId="10" borderId="15" xfId="0" applyNumberFormat="1" applyFont="1" applyFill="1" applyBorder="1" applyAlignment="1">
      <alignment horizontal="center" vertical="center"/>
    </xf>
    <xf numFmtId="2" fontId="18" fillId="10" borderId="38" xfId="0" applyNumberFormat="1" applyFont="1" applyFill="1" applyBorder="1" applyAlignment="1">
      <alignment horizontal="center" vertical="center"/>
    </xf>
    <xf numFmtId="165" fontId="18" fillId="10" borderId="69" xfId="0" applyNumberFormat="1" applyFont="1" applyFill="1" applyBorder="1" applyAlignment="1">
      <alignment horizontal="center" vertical="center"/>
    </xf>
    <xf numFmtId="165" fontId="18" fillId="10" borderId="51" xfId="0" applyNumberFormat="1" applyFont="1" applyFill="1" applyBorder="1" applyAlignment="1">
      <alignment horizontal="center" vertical="center"/>
    </xf>
    <xf numFmtId="2" fontId="18" fillId="10" borderId="52" xfId="0" applyNumberFormat="1" applyFont="1" applyFill="1" applyBorder="1" applyAlignment="1">
      <alignment horizontal="center" vertical="center"/>
    </xf>
    <xf numFmtId="166" fontId="18" fillId="10" borderId="33" xfId="0" applyNumberFormat="1" applyFont="1" applyFill="1" applyBorder="1" applyAlignment="1">
      <alignment horizontal="center" vertical="center"/>
    </xf>
    <xf numFmtId="165" fontId="18" fillId="7" borderId="88" xfId="0" applyNumberFormat="1" applyFont="1" applyFill="1" applyBorder="1" applyAlignment="1">
      <alignment horizontal="center" vertical="center"/>
    </xf>
    <xf numFmtId="2" fontId="18" fillId="7" borderId="56" xfId="0" applyNumberFormat="1" applyFont="1" applyFill="1" applyBorder="1" applyAlignment="1">
      <alignment horizontal="center" vertical="center"/>
    </xf>
    <xf numFmtId="165" fontId="18" fillId="10" borderId="38" xfId="0" applyNumberFormat="1" applyFont="1" applyFill="1" applyBorder="1" applyAlignment="1">
      <alignment horizontal="center" vertical="center"/>
    </xf>
    <xf numFmtId="165" fontId="18" fillId="10" borderId="65" xfId="0" applyNumberFormat="1" applyFont="1" applyFill="1" applyBorder="1" applyAlignment="1">
      <alignment horizontal="center" vertical="center"/>
    </xf>
    <xf numFmtId="165" fontId="18" fillId="10" borderId="57" xfId="0" applyNumberFormat="1" applyFont="1" applyFill="1" applyBorder="1" applyAlignment="1">
      <alignment horizontal="center" vertical="center"/>
    </xf>
    <xf numFmtId="165" fontId="18" fillId="10" borderId="58" xfId="0" applyNumberFormat="1" applyFont="1" applyFill="1" applyBorder="1" applyAlignment="1">
      <alignment horizontal="center" vertical="center"/>
    </xf>
    <xf numFmtId="166" fontId="18" fillId="10" borderId="59" xfId="0" applyNumberFormat="1" applyFont="1" applyFill="1" applyBorder="1" applyAlignment="1">
      <alignment horizontal="center" vertical="center"/>
    </xf>
    <xf numFmtId="165" fontId="18" fillId="7" borderId="87" xfId="0" applyNumberFormat="1" applyFont="1" applyFill="1" applyBorder="1" applyAlignment="1">
      <alignment horizontal="center" vertical="center"/>
    </xf>
    <xf numFmtId="2" fontId="18" fillId="7" borderId="35" xfId="0" applyNumberFormat="1" applyFont="1" applyFill="1" applyBorder="1" applyAlignment="1">
      <alignment horizontal="center" vertical="center"/>
    </xf>
    <xf numFmtId="2" fontId="18" fillId="7" borderId="53" xfId="0" applyNumberFormat="1" applyFont="1" applyFill="1" applyBorder="1" applyAlignment="1">
      <alignment horizontal="center" vertical="center"/>
    </xf>
    <xf numFmtId="166" fontId="18" fillId="7" borderId="61" xfId="0" applyNumberFormat="1" applyFont="1" applyFill="1" applyBorder="1" applyAlignment="1">
      <alignment horizontal="center" vertical="center"/>
    </xf>
    <xf numFmtId="165" fontId="18" fillId="10" borderId="68" xfId="0" applyNumberFormat="1" applyFont="1" applyFill="1" applyBorder="1" applyAlignment="1">
      <alignment horizontal="center" vertical="center"/>
    </xf>
    <xf numFmtId="165" fontId="18" fillId="10" borderId="22" xfId="0" applyNumberFormat="1" applyFont="1" applyFill="1" applyBorder="1" applyAlignment="1">
      <alignment horizontal="center" vertical="center"/>
    </xf>
    <xf numFmtId="165" fontId="18" fillId="10" borderId="39" xfId="0" applyNumberFormat="1" applyFont="1" applyFill="1" applyBorder="1" applyAlignment="1">
      <alignment horizontal="center" vertical="center"/>
    </xf>
    <xf numFmtId="166" fontId="18" fillId="10" borderId="40" xfId="0" applyNumberFormat="1" applyFont="1" applyFill="1" applyBorder="1" applyAlignment="1">
      <alignment horizontal="center" vertical="center"/>
    </xf>
    <xf numFmtId="165" fontId="18" fillId="10" borderId="0" xfId="0" applyNumberFormat="1" applyFont="1" applyFill="1" applyAlignment="1">
      <alignment horizontal="center" vertical="center"/>
    </xf>
    <xf numFmtId="166" fontId="18" fillId="10" borderId="0" xfId="0" applyNumberFormat="1" applyFont="1" applyFill="1" applyAlignment="1">
      <alignment horizontal="center" vertical="center"/>
    </xf>
    <xf numFmtId="165" fontId="18" fillId="7" borderId="34" xfId="0" applyNumberFormat="1" applyFont="1" applyFill="1" applyBorder="1" applyAlignment="1">
      <alignment horizontal="center" vertical="center"/>
    </xf>
    <xf numFmtId="165" fontId="18" fillId="10" borderId="63" xfId="0" applyNumberFormat="1" applyFont="1" applyFill="1" applyBorder="1" applyAlignment="1">
      <alignment horizontal="center" vertical="center"/>
    </xf>
    <xf numFmtId="165" fontId="18" fillId="10" borderId="72" xfId="0" applyNumberFormat="1" applyFont="1" applyFill="1" applyBorder="1" applyAlignment="1">
      <alignment horizontal="center" vertical="center"/>
    </xf>
    <xf numFmtId="165" fontId="18" fillId="10" borderId="21" xfId="0" applyNumberFormat="1" applyFont="1" applyFill="1" applyBorder="1" applyAlignment="1">
      <alignment horizontal="center" vertical="center"/>
    </xf>
    <xf numFmtId="0" fontId="53" fillId="0" borderId="0" xfId="0" applyFont="1"/>
    <xf numFmtId="3" fontId="53" fillId="10" borderId="0" xfId="0" applyNumberFormat="1" applyFont="1" applyFill="1" applyAlignment="1">
      <alignment horizontal="center" vertical="center"/>
    </xf>
    <xf numFmtId="3" fontId="22" fillId="10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/>
    </xf>
    <xf numFmtId="165" fontId="0" fillId="6" borderId="37" xfId="0" applyNumberFormat="1" applyFont="1" applyFill="1" applyBorder="1" applyAlignment="1">
      <alignment horizontal="center" vertical="center"/>
    </xf>
    <xf numFmtId="165" fontId="0" fillId="3" borderId="16" xfId="0" applyNumberFormat="1" applyFont="1" applyFill="1" applyBorder="1" applyAlignment="1">
      <alignment horizontal="right" vertical="center" indent="1"/>
    </xf>
    <xf numFmtId="165" fontId="0" fillId="3" borderId="33" xfId="0" applyNumberFormat="1" applyFont="1" applyFill="1" applyBorder="1" applyAlignment="1">
      <alignment horizontal="right" vertical="center" indent="1"/>
    </xf>
    <xf numFmtId="165" fontId="0" fillId="7" borderId="55" xfId="0" applyNumberFormat="1" applyFont="1" applyFill="1" applyBorder="1" applyAlignment="1">
      <alignment horizontal="center" vertical="center"/>
    </xf>
    <xf numFmtId="165" fontId="0" fillId="3" borderId="59" xfId="0" applyNumberFormat="1" applyFont="1" applyFill="1" applyBorder="1" applyAlignment="1">
      <alignment horizontal="right" vertical="center" indent="1"/>
    </xf>
    <xf numFmtId="165" fontId="0" fillId="7" borderId="61" xfId="0" applyNumberFormat="1" applyFont="1" applyFill="1" applyBorder="1" applyAlignment="1">
      <alignment horizontal="center" vertical="center"/>
    </xf>
    <xf numFmtId="165" fontId="0" fillId="3" borderId="16" xfId="0" applyNumberFormat="1" applyFont="1" applyFill="1" applyBorder="1" applyAlignment="1">
      <alignment horizontal="center" vertical="center"/>
    </xf>
    <xf numFmtId="165" fontId="0" fillId="6" borderId="61" xfId="0" applyNumberFormat="1" applyFont="1" applyFill="1" applyBorder="1" applyAlignment="1">
      <alignment horizontal="center" vertical="center"/>
    </xf>
    <xf numFmtId="165" fontId="0" fillId="3" borderId="40" xfId="0" applyNumberFormat="1" applyFont="1" applyFill="1" applyBorder="1" applyAlignment="1">
      <alignment horizontal="right" vertical="center" indent="1"/>
    </xf>
    <xf numFmtId="3" fontId="22" fillId="0" borderId="140" xfId="0" applyNumberFormat="1" applyFont="1" applyBorder="1" applyAlignment="1">
      <alignment horizontal="center"/>
    </xf>
    <xf numFmtId="3" fontId="22" fillId="10" borderId="141" xfId="0" applyNumberFormat="1" applyFont="1" applyFill="1" applyBorder="1" applyAlignment="1">
      <alignment horizontal="center" vertical="center"/>
    </xf>
    <xf numFmtId="3" fontId="0" fillId="6" borderId="141" xfId="0" applyNumberFormat="1" applyFont="1" applyFill="1" applyBorder="1" applyAlignment="1">
      <alignment horizontal="center" vertical="center"/>
    </xf>
    <xf numFmtId="2" fontId="0" fillId="7" borderId="143" xfId="0" applyNumberFormat="1" applyFont="1" applyFill="1" applyBorder="1" applyAlignment="1">
      <alignment horizontal="center" vertical="center"/>
    </xf>
    <xf numFmtId="2" fontId="0" fillId="3" borderId="90" xfId="0" applyNumberFormat="1" applyFont="1" applyFill="1" applyBorder="1" applyAlignment="1">
      <alignment horizontal="right" vertical="center" indent="1"/>
    </xf>
    <xf numFmtId="2" fontId="0" fillId="7" borderId="89" xfId="0" applyNumberFormat="1" applyFont="1" applyFill="1" applyBorder="1" applyAlignment="1">
      <alignment horizontal="center" vertical="center"/>
    </xf>
    <xf numFmtId="2" fontId="0" fillId="7" borderId="92" xfId="0" applyNumberFormat="1" applyFont="1" applyFill="1" applyBorder="1" applyAlignment="1">
      <alignment horizontal="center" vertical="center"/>
    </xf>
    <xf numFmtId="2" fontId="0" fillId="6" borderId="92" xfId="0" applyNumberFormat="1" applyFont="1" applyFill="1" applyBorder="1" applyAlignment="1">
      <alignment horizontal="right" vertical="center" indent="1"/>
    </xf>
    <xf numFmtId="2" fontId="0" fillId="3" borderId="144" xfId="0" applyNumberFormat="1" applyFont="1" applyFill="1" applyBorder="1" applyAlignment="1">
      <alignment horizontal="right" vertical="center" indent="1"/>
    </xf>
    <xf numFmtId="3" fontId="0" fillId="3" borderId="141" xfId="0" applyNumberFormat="1" applyFont="1" applyFill="1" applyBorder="1" applyAlignment="1">
      <alignment horizontal="center" vertical="center"/>
    </xf>
    <xf numFmtId="3" fontId="0" fillId="3" borderId="142" xfId="0" applyNumberFormat="1" applyFont="1" applyFill="1" applyBorder="1" applyAlignment="1">
      <alignment horizontal="center" vertical="center"/>
    </xf>
    <xf numFmtId="3" fontId="0" fillId="6" borderId="145" xfId="0" applyNumberFormat="1" applyFont="1" applyFill="1" applyBorder="1" applyAlignment="1">
      <alignment horizontal="center" vertical="center"/>
    </xf>
    <xf numFmtId="3" fontId="22" fillId="10" borderId="142" xfId="0" applyNumberFormat="1" applyFont="1" applyFill="1" applyBorder="1" applyAlignment="1">
      <alignment horizontal="center" vertical="center"/>
    </xf>
    <xf numFmtId="3" fontId="0" fillId="3" borderId="146" xfId="0" applyNumberFormat="1" applyFont="1" applyFill="1" applyBorder="1" applyAlignment="1">
      <alignment horizontal="center" vertical="center"/>
    </xf>
    <xf numFmtId="3" fontId="0" fillId="3" borderId="147" xfId="0" applyNumberFormat="1" applyFont="1" applyFill="1" applyBorder="1" applyAlignment="1">
      <alignment horizontal="center" vertical="center"/>
    </xf>
    <xf numFmtId="3" fontId="0" fillId="6" borderId="148" xfId="0" applyNumberFormat="1" applyFont="1" applyFill="1" applyBorder="1" applyAlignment="1">
      <alignment horizontal="center" vertical="center"/>
    </xf>
    <xf numFmtId="165" fontId="18" fillId="10" borderId="41" xfId="0" applyNumberFormat="1" applyFont="1" applyFill="1" applyBorder="1" applyAlignment="1">
      <alignment horizontal="center" vertical="center"/>
    </xf>
    <xf numFmtId="2" fontId="18" fillId="10" borderId="41" xfId="0" applyNumberFormat="1" applyFont="1" applyFill="1" applyBorder="1" applyAlignment="1">
      <alignment horizontal="center" vertical="center"/>
    </xf>
    <xf numFmtId="166" fontId="18" fillId="10" borderId="41" xfId="0" applyNumberFormat="1" applyFont="1" applyFill="1" applyBorder="1" applyAlignment="1">
      <alignment horizontal="center" vertical="center"/>
    </xf>
    <xf numFmtId="0" fontId="42" fillId="4" borderId="60" xfId="0" applyFont="1" applyFill="1" applyBorder="1" applyAlignment="1">
      <alignment horizontal="center" vertical="center"/>
    </xf>
    <xf numFmtId="2" fontId="53" fillId="10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16" fillId="10" borderId="5" xfId="0" applyFont="1" applyFill="1" applyBorder="1" applyAlignment="1">
      <alignment horizontal="left" vertical="center" indent="1"/>
    </xf>
    <xf numFmtId="0" fontId="0" fillId="0" borderId="75" xfId="0" applyBorder="1"/>
    <xf numFmtId="0" fontId="24" fillId="10" borderId="75" xfId="0" applyFont="1" applyFill="1" applyBorder="1" applyAlignment="1">
      <alignment horizontal="left" vertical="center" indent="2"/>
    </xf>
    <xf numFmtId="3" fontId="0" fillId="10" borderId="0" xfId="0" applyNumberFormat="1" applyFont="1" applyFill="1" applyBorder="1" applyAlignment="1">
      <alignment horizontal="left" vertical="center" indent="1"/>
    </xf>
    <xf numFmtId="0" fontId="24" fillId="10" borderId="0" xfId="0" applyFont="1" applyFill="1" applyBorder="1" applyAlignment="1">
      <alignment vertical="center"/>
    </xf>
    <xf numFmtId="0" fontId="0" fillId="10" borderId="36" xfId="0" applyFont="1" applyFill="1" applyBorder="1" applyAlignment="1">
      <alignment horizontal="right" vertical="center" indent="1"/>
    </xf>
    <xf numFmtId="0" fontId="0" fillId="10" borderId="12" xfId="0" applyFont="1" applyFill="1" applyBorder="1" applyAlignment="1">
      <alignment horizontal="center" vertical="center"/>
    </xf>
    <xf numFmtId="165" fontId="53" fillId="10" borderId="0" xfId="0" applyNumberFormat="1" applyFont="1" applyFill="1" applyAlignment="1">
      <alignment horizontal="center" vertical="center"/>
    </xf>
    <xf numFmtId="165" fontId="0" fillId="10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2" fontId="0" fillId="10" borderId="77" xfId="0" applyNumberFormat="1" applyFont="1" applyFill="1" applyBorder="1" applyAlignment="1">
      <alignment horizontal="center" vertical="center"/>
    </xf>
    <xf numFmtId="2" fontId="0" fillId="10" borderId="19" xfId="0" applyNumberFormat="1" applyFont="1" applyFill="1" applyBorder="1" applyAlignment="1">
      <alignment horizontal="center" vertical="center"/>
    </xf>
    <xf numFmtId="2" fontId="0" fillId="10" borderId="21" xfId="0" applyNumberFormat="1" applyFont="1" applyFill="1" applyBorder="1" applyAlignment="1">
      <alignment horizontal="center" vertical="center"/>
    </xf>
    <xf numFmtId="2" fontId="0" fillId="10" borderId="67" xfId="0" applyNumberFormat="1" applyFont="1" applyFill="1" applyBorder="1" applyAlignment="1">
      <alignment horizontal="center" vertical="center"/>
    </xf>
    <xf numFmtId="165" fontId="0" fillId="10" borderId="42" xfId="0" applyNumberFormat="1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/>
    </xf>
    <xf numFmtId="2" fontId="0" fillId="10" borderId="34" xfId="0" applyNumberFormat="1" applyFont="1" applyFill="1" applyBorder="1" applyAlignment="1">
      <alignment horizontal="center" vertical="center"/>
    </xf>
    <xf numFmtId="2" fontId="0" fillId="0" borderId="21" xfId="0" applyNumberFormat="1" applyBorder="1" applyAlignment="1">
      <alignment horizontal="center"/>
    </xf>
    <xf numFmtId="165" fontId="22" fillId="6" borderId="42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5" fontId="22" fillId="6" borderId="149" xfId="0" applyNumberFormat="1" applyFont="1" applyFill="1" applyBorder="1" applyAlignment="1">
      <alignment horizontal="center" vertical="center"/>
    </xf>
    <xf numFmtId="165" fontId="22" fillId="6" borderId="4" xfId="0" applyNumberFormat="1" applyFont="1" applyFill="1" applyBorder="1" applyAlignment="1">
      <alignment horizontal="center" vertical="center"/>
    </xf>
    <xf numFmtId="165" fontId="0" fillId="3" borderId="26" xfId="0" applyNumberFormat="1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center" vertical="center"/>
    </xf>
    <xf numFmtId="0" fontId="24" fillId="10" borderId="31" xfId="0" applyFont="1" applyFill="1" applyBorder="1" applyAlignment="1">
      <alignment horizontal="center" vertical="center"/>
    </xf>
    <xf numFmtId="165" fontId="22" fillId="4" borderId="9" xfId="0" applyNumberFormat="1" applyFont="1" applyFill="1" applyBorder="1" applyAlignment="1">
      <alignment horizontal="center" vertical="center"/>
    </xf>
    <xf numFmtId="0" fontId="56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56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5" fillId="0" borderId="0" xfId="1" applyAlignment="1">
      <alignment horizontal="center" vertical="center"/>
    </xf>
    <xf numFmtId="0" fontId="10" fillId="12" borderId="15" xfId="1" applyFont="1" applyFill="1" applyBorder="1" applyAlignment="1">
      <alignment horizontal="center"/>
    </xf>
    <xf numFmtId="0" fontId="56" fillId="0" borderId="0" xfId="1" applyFont="1" applyBorder="1" applyAlignment="1">
      <alignment vertical="center"/>
    </xf>
    <xf numFmtId="0" fontId="10" fillId="0" borderId="15" xfId="1" applyFont="1" applyBorder="1" applyAlignment="1">
      <alignment horizontal="center"/>
    </xf>
    <xf numFmtId="0" fontId="56" fillId="0" borderId="150" xfId="1" applyFont="1" applyBorder="1" applyAlignment="1">
      <alignment vertical="center"/>
    </xf>
    <xf numFmtId="0" fontId="56" fillId="0" borderId="91" xfId="1" applyFont="1" applyBorder="1" applyAlignment="1">
      <alignment vertical="center"/>
    </xf>
    <xf numFmtId="0" fontId="56" fillId="0" borderId="90" xfId="1" applyFont="1" applyBorder="1" applyAlignment="1">
      <alignment vertical="center"/>
    </xf>
    <xf numFmtId="0" fontId="56" fillId="16" borderId="75" xfId="1" applyFont="1" applyFill="1" applyBorder="1" applyAlignment="1">
      <alignment vertical="center"/>
    </xf>
    <xf numFmtId="0" fontId="56" fillId="17" borderId="75" xfId="1" applyFont="1" applyFill="1" applyBorder="1" applyAlignment="1">
      <alignment vertical="center"/>
    </xf>
    <xf numFmtId="0" fontId="56" fillId="17" borderId="50" xfId="1" applyFont="1" applyFill="1" applyBorder="1" applyAlignment="1">
      <alignment vertical="center"/>
    </xf>
    <xf numFmtId="0" fontId="56" fillId="0" borderId="33" xfId="1" applyFont="1" applyBorder="1" applyAlignment="1">
      <alignment vertical="center"/>
    </xf>
    <xf numFmtId="0" fontId="56" fillId="17" borderId="5" xfId="1" applyFont="1" applyFill="1" applyBorder="1" applyAlignment="1">
      <alignment vertical="center"/>
    </xf>
    <xf numFmtId="0" fontId="56" fillId="16" borderId="0" xfId="1" applyFont="1" applyFill="1" applyBorder="1" applyAlignment="1">
      <alignment vertical="center"/>
    </xf>
    <xf numFmtId="0" fontId="56" fillId="17" borderId="0" xfId="1" applyFont="1" applyFill="1" applyBorder="1" applyAlignment="1">
      <alignment vertical="center"/>
    </xf>
    <xf numFmtId="0" fontId="56" fillId="17" borderId="36" xfId="1" applyFont="1" applyFill="1" applyBorder="1" applyAlignment="1">
      <alignment vertical="center"/>
    </xf>
    <xf numFmtId="0" fontId="56" fillId="17" borderId="8" xfId="1" applyFont="1" applyFill="1" applyBorder="1" applyAlignment="1">
      <alignment vertical="center"/>
    </xf>
    <xf numFmtId="0" fontId="56" fillId="0" borderId="16" xfId="1" applyFont="1" applyBorder="1" applyAlignment="1">
      <alignment vertical="center"/>
    </xf>
    <xf numFmtId="0" fontId="59" fillId="0" borderId="0" xfId="1" applyFont="1" applyAlignment="1">
      <alignment vertical="center"/>
    </xf>
    <xf numFmtId="0" fontId="38" fillId="0" borderId="0" xfId="1" applyFont="1" applyAlignment="1">
      <alignment vertical="center"/>
    </xf>
    <xf numFmtId="0" fontId="60" fillId="17" borderId="8" xfId="1" applyFont="1" applyFill="1" applyBorder="1" applyAlignment="1">
      <alignment horizontal="center" vertical="center" textRotation="90"/>
    </xf>
    <xf numFmtId="0" fontId="60" fillId="17" borderId="0" xfId="1" applyFont="1" applyFill="1" applyBorder="1" applyAlignment="1">
      <alignment horizontal="center" vertical="center" textRotation="90"/>
    </xf>
    <xf numFmtId="0" fontId="10" fillId="0" borderId="51" xfId="1" applyFont="1" applyBorder="1" applyAlignment="1">
      <alignment horizontal="center"/>
    </xf>
    <xf numFmtId="0" fontId="10" fillId="12" borderId="51" xfId="1" applyFont="1" applyFill="1" applyBorder="1" applyAlignment="1">
      <alignment horizontal="center"/>
    </xf>
    <xf numFmtId="0" fontId="56" fillId="17" borderId="8" xfId="1" applyFont="1" applyFill="1" applyBorder="1" applyAlignment="1">
      <alignment vertical="center" textRotation="90"/>
    </xf>
    <xf numFmtId="0" fontId="56" fillId="17" borderId="239" xfId="1" applyFont="1" applyFill="1" applyBorder="1" applyAlignment="1">
      <alignment vertical="center"/>
    </xf>
    <xf numFmtId="0" fontId="10" fillId="0" borderId="239" xfId="1" applyFont="1" applyBorder="1" applyAlignment="1">
      <alignment horizontal="center"/>
    </xf>
    <xf numFmtId="49" fontId="10" fillId="12" borderId="239" xfId="1" applyNumberFormat="1" applyFont="1" applyFill="1" applyBorder="1" applyAlignment="1">
      <alignment horizontal="center"/>
    </xf>
    <xf numFmtId="0" fontId="56" fillId="17" borderId="240" xfId="1" applyFont="1" applyFill="1" applyBorder="1" applyAlignment="1">
      <alignment vertical="center"/>
    </xf>
    <xf numFmtId="49" fontId="10" fillId="12" borderId="246" xfId="1" applyNumberFormat="1" applyFont="1" applyFill="1" applyBorder="1" applyAlignment="1">
      <alignment horizontal="center"/>
    </xf>
    <xf numFmtId="0" fontId="56" fillId="17" borderId="15" xfId="1" applyFont="1" applyFill="1" applyBorder="1" applyAlignment="1">
      <alignment vertical="center"/>
    </xf>
    <xf numFmtId="49" fontId="10" fillId="12" borderId="15" xfId="1" applyNumberFormat="1" applyFont="1" applyFill="1" applyBorder="1" applyAlignment="1">
      <alignment horizontal="center"/>
    </xf>
    <xf numFmtId="49" fontId="10" fillId="12" borderId="38" xfId="1" applyNumberFormat="1" applyFont="1" applyFill="1" applyBorder="1" applyAlignment="1">
      <alignment horizontal="center"/>
    </xf>
    <xf numFmtId="49" fontId="10" fillId="12" borderId="51" xfId="1" applyNumberFormat="1" applyFont="1" applyFill="1" applyBorder="1" applyAlignment="1">
      <alignment horizontal="center"/>
    </xf>
    <xf numFmtId="0" fontId="56" fillId="17" borderId="28" xfId="1" applyFont="1" applyFill="1" applyBorder="1" applyAlignment="1">
      <alignment vertical="center"/>
    </xf>
    <xf numFmtId="49" fontId="10" fillId="12" borderId="52" xfId="1" applyNumberFormat="1" applyFont="1" applyFill="1" applyBorder="1" applyAlignment="1">
      <alignment horizontal="center"/>
    </xf>
    <xf numFmtId="0" fontId="10" fillId="0" borderId="15" xfId="1" applyFont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 textRotation="180"/>
    </xf>
    <xf numFmtId="0" fontId="10" fillId="0" borderId="15" xfId="1" applyFont="1" applyBorder="1" applyAlignment="1">
      <alignment horizontal="center" vertical="center" textRotation="180"/>
    </xf>
    <xf numFmtId="0" fontId="10" fillId="12" borderId="35" xfId="1" applyFont="1" applyFill="1" applyBorder="1" applyAlignment="1">
      <alignment horizontal="center" vertical="center" textRotation="180"/>
    </xf>
    <xf numFmtId="0" fontId="56" fillId="0" borderId="0" xfId="1" applyFont="1" applyBorder="1" applyAlignment="1">
      <alignment vertical="top" textRotation="180"/>
    </xf>
    <xf numFmtId="0" fontId="10" fillId="0" borderId="0" xfId="1" applyFont="1" applyBorder="1" applyAlignment="1">
      <alignment horizontal="center" vertical="top" textRotation="180"/>
    </xf>
    <xf numFmtId="0" fontId="10" fillId="0" borderId="0" xfId="1" applyFont="1" applyBorder="1" applyAlignment="1">
      <alignment vertical="top" textRotation="180"/>
    </xf>
    <xf numFmtId="3" fontId="0" fillId="10" borderId="35" xfId="0" applyNumberFormat="1" applyFont="1" applyFill="1" applyBorder="1" applyAlignment="1">
      <alignment horizontal="center" vertical="center"/>
    </xf>
    <xf numFmtId="3" fontId="0" fillId="10" borderId="51" xfId="0" applyNumberFormat="1" applyFont="1" applyFill="1" applyBorder="1" applyAlignment="1">
      <alignment horizontal="center" vertical="center"/>
    </xf>
    <xf numFmtId="3" fontId="0" fillId="10" borderId="15" xfId="0" applyNumberFormat="1" applyFont="1" applyFill="1" applyBorder="1" applyAlignment="1">
      <alignment horizontal="center" vertical="center"/>
    </xf>
    <xf numFmtId="0" fontId="38" fillId="0" borderId="0" xfId="1" applyFont="1" applyAlignment="1">
      <alignment horizontal="center" vertical="center"/>
    </xf>
    <xf numFmtId="0" fontId="38" fillId="0" borderId="0" xfId="1" applyFont="1" applyBorder="1" applyAlignment="1">
      <alignment vertical="center"/>
    </xf>
    <xf numFmtId="0" fontId="38" fillId="0" borderId="0" xfId="1" applyFont="1" applyBorder="1" applyAlignment="1">
      <alignment horizontal="center" vertical="center"/>
    </xf>
    <xf numFmtId="0" fontId="38" fillId="0" borderId="151" xfId="1" applyFont="1" applyBorder="1" applyAlignment="1">
      <alignment vertical="center"/>
    </xf>
    <xf numFmtId="0" fontId="59" fillId="0" borderId="0" xfId="1" applyFont="1" applyBorder="1" applyAlignment="1">
      <alignment vertical="center"/>
    </xf>
    <xf numFmtId="0" fontId="38" fillId="8" borderId="0" xfId="1" applyFont="1" applyFill="1" applyBorder="1" applyAlignment="1">
      <alignment vertical="center"/>
    </xf>
    <xf numFmtId="0" fontId="38" fillId="8" borderId="0" xfId="1" applyFont="1" applyFill="1" applyBorder="1" applyAlignment="1">
      <alignment horizontal="left" vertical="center" indent="1"/>
    </xf>
    <xf numFmtId="0" fontId="38" fillId="0" borderId="91" xfId="1" applyFont="1" applyBorder="1" applyAlignment="1">
      <alignment vertical="center"/>
    </xf>
    <xf numFmtId="0" fontId="59" fillId="13" borderId="152" xfId="1" applyFont="1" applyFill="1" applyBorder="1" applyAlignment="1">
      <alignment horizontal="left" vertical="center" indent="1"/>
    </xf>
    <xf numFmtId="0" fontId="38" fillId="13" borderId="153" xfId="1" applyFont="1" applyFill="1" applyBorder="1" applyAlignment="1">
      <alignment vertical="center"/>
    </xf>
    <xf numFmtId="0" fontId="38" fillId="13" borderId="154" xfId="1" applyFont="1" applyFill="1" applyBorder="1" applyAlignment="1">
      <alignment vertical="center"/>
    </xf>
    <xf numFmtId="0" fontId="38" fillId="13" borderId="155" xfId="1" applyFont="1" applyFill="1" applyBorder="1" applyAlignment="1">
      <alignment horizontal="left" vertical="center" indent="1"/>
    </xf>
    <xf numFmtId="0" fontId="38" fillId="13" borderId="156" xfId="1" applyFont="1" applyFill="1" applyBorder="1" applyAlignment="1">
      <alignment vertical="center"/>
    </xf>
    <xf numFmtId="0" fontId="38" fillId="13" borderId="157" xfId="1" applyFont="1" applyFill="1" applyBorder="1" applyAlignment="1">
      <alignment vertical="center"/>
    </xf>
    <xf numFmtId="0" fontId="38" fillId="13" borderId="155" xfId="1" applyFont="1" applyFill="1" applyBorder="1" applyAlignment="1">
      <alignment vertical="center"/>
    </xf>
    <xf numFmtId="0" fontId="38" fillId="13" borderId="158" xfId="1" applyFont="1" applyFill="1" applyBorder="1" applyAlignment="1">
      <alignment vertical="center"/>
    </xf>
    <xf numFmtId="0" fontId="38" fillId="13" borderId="157" xfId="1" applyFont="1" applyFill="1" applyBorder="1" applyAlignment="1">
      <alignment horizontal="left" vertical="center" indent="1"/>
    </xf>
    <xf numFmtId="0" fontId="38" fillId="13" borderId="159" xfId="1" applyFont="1" applyFill="1" applyBorder="1" applyAlignment="1">
      <alignment vertical="center"/>
    </xf>
    <xf numFmtId="0" fontId="38" fillId="13" borderId="160" xfId="1" applyFont="1" applyFill="1" applyBorder="1" applyAlignment="1">
      <alignment vertical="center"/>
    </xf>
    <xf numFmtId="0" fontId="38" fillId="13" borderId="161" xfId="1" applyFont="1" applyFill="1" applyBorder="1" applyAlignment="1">
      <alignment vertical="center"/>
    </xf>
    <xf numFmtId="0" fontId="38" fillId="13" borderId="162" xfId="1" applyFont="1" applyFill="1" applyBorder="1" applyAlignment="1">
      <alignment vertical="center"/>
    </xf>
    <xf numFmtId="0" fontId="38" fillId="8" borderId="91" xfId="1" applyFont="1" applyFill="1" applyBorder="1" applyAlignment="1">
      <alignment vertical="center"/>
    </xf>
    <xf numFmtId="0" fontId="38" fillId="0" borderId="52" xfId="1" applyFont="1" applyBorder="1" applyAlignment="1">
      <alignment horizontal="center" vertical="center"/>
    </xf>
    <xf numFmtId="0" fontId="38" fillId="0" borderId="90" xfId="1" applyFont="1" applyBorder="1" applyAlignment="1">
      <alignment vertical="center"/>
    </xf>
    <xf numFmtId="0" fontId="59" fillId="14" borderId="163" xfId="1" applyFont="1" applyFill="1" applyBorder="1" applyAlignment="1">
      <alignment horizontal="left" vertical="center" indent="1"/>
    </xf>
    <xf numFmtId="0" fontId="38" fillId="14" borderId="164" xfId="1" applyFont="1" applyFill="1" applyBorder="1" applyAlignment="1">
      <alignment vertical="center"/>
    </xf>
    <xf numFmtId="0" fontId="38" fillId="14" borderId="165" xfId="1" applyFont="1" applyFill="1" applyBorder="1" applyAlignment="1">
      <alignment horizontal="left" vertical="center" indent="1"/>
    </xf>
    <xf numFmtId="0" fontId="38" fillId="14" borderId="166" xfId="1" applyFont="1" applyFill="1" applyBorder="1" applyAlignment="1">
      <alignment vertical="center"/>
    </xf>
    <xf numFmtId="0" fontId="38" fillId="14" borderId="165" xfId="1" applyFont="1" applyFill="1" applyBorder="1" applyAlignment="1">
      <alignment vertical="center"/>
    </xf>
    <xf numFmtId="0" fontId="38" fillId="14" borderId="167" xfId="1" applyFont="1" applyFill="1" applyBorder="1" applyAlignment="1">
      <alignment vertical="center"/>
    </xf>
    <xf numFmtId="0" fontId="38" fillId="14" borderId="164" xfId="1" applyFont="1" applyFill="1" applyBorder="1" applyAlignment="1">
      <alignment horizontal="left" vertical="center" indent="1"/>
    </xf>
    <xf numFmtId="0" fontId="38" fillId="14" borderId="168" xfId="1" applyFont="1" applyFill="1" applyBorder="1" applyAlignment="1">
      <alignment vertical="center"/>
    </xf>
    <xf numFmtId="0" fontId="38" fillId="14" borderId="169" xfId="1" applyFont="1" applyFill="1" applyBorder="1" applyAlignment="1">
      <alignment vertical="center"/>
    </xf>
    <xf numFmtId="0" fontId="38" fillId="14" borderId="170" xfId="1" applyFont="1" applyFill="1" applyBorder="1" applyAlignment="1">
      <alignment vertical="center"/>
    </xf>
    <xf numFmtId="0" fontId="38" fillId="14" borderId="171" xfId="1" applyFont="1" applyFill="1" applyBorder="1" applyAlignment="1">
      <alignment vertical="center"/>
    </xf>
    <xf numFmtId="0" fontId="38" fillId="8" borderId="90" xfId="1" applyFont="1" applyFill="1" applyBorder="1" applyAlignment="1">
      <alignment vertical="center"/>
    </xf>
    <xf numFmtId="0" fontId="38" fillId="0" borderId="38" xfId="1" applyFont="1" applyBorder="1" applyAlignment="1">
      <alignment horizontal="center" vertical="center"/>
    </xf>
    <xf numFmtId="0" fontId="38" fillId="12" borderId="172" xfId="1" applyFont="1" applyFill="1" applyBorder="1" applyAlignment="1">
      <alignment vertical="center"/>
    </xf>
    <xf numFmtId="0" fontId="38" fillId="12" borderId="35" xfId="1" applyFont="1" applyFill="1" applyBorder="1" applyAlignment="1">
      <alignment vertical="center"/>
    </xf>
    <xf numFmtId="0" fontId="38" fillId="12" borderId="61" xfId="1" applyFont="1" applyFill="1" applyBorder="1" applyAlignment="1">
      <alignment vertical="center"/>
    </xf>
    <xf numFmtId="0" fontId="38" fillId="12" borderId="173" xfId="1" applyFont="1" applyFill="1" applyBorder="1" applyAlignment="1">
      <alignment vertical="center"/>
    </xf>
    <xf numFmtId="0" fontId="38" fillId="12" borderId="174" xfId="1" applyFont="1" applyFill="1" applyBorder="1" applyAlignment="1">
      <alignment vertical="center"/>
    </xf>
    <xf numFmtId="0" fontId="38" fillId="12" borderId="35" xfId="1" applyFont="1" applyFill="1" applyBorder="1" applyAlignment="1">
      <alignment horizontal="left" vertical="center" indent="1"/>
    </xf>
    <xf numFmtId="0" fontId="38" fillId="12" borderId="175" xfId="1" applyFont="1" applyFill="1" applyBorder="1" applyAlignment="1">
      <alignment vertical="center"/>
    </xf>
    <xf numFmtId="0" fontId="38" fillId="12" borderId="53" xfId="1" applyFont="1" applyFill="1" applyBorder="1" applyAlignment="1">
      <alignment vertical="center"/>
    </xf>
    <xf numFmtId="0" fontId="38" fillId="12" borderId="176" xfId="1" applyFont="1" applyFill="1" applyBorder="1" applyAlignment="1">
      <alignment vertical="center"/>
    </xf>
    <xf numFmtId="0" fontId="38" fillId="0" borderId="27" xfId="1" applyFont="1" applyBorder="1" applyAlignment="1">
      <alignment horizontal="center" vertical="center"/>
    </xf>
    <xf numFmtId="0" fontId="38" fillId="12" borderId="177" xfId="1" applyFont="1" applyFill="1" applyBorder="1" applyAlignment="1">
      <alignment vertical="center"/>
    </xf>
    <xf numFmtId="0" fontId="38" fillId="12" borderId="15" xfId="1" applyFont="1" applyFill="1" applyBorder="1" applyAlignment="1">
      <alignment vertical="center"/>
    </xf>
    <xf numFmtId="0" fontId="38" fillId="12" borderId="16" xfId="1" applyFont="1" applyFill="1" applyBorder="1" applyAlignment="1">
      <alignment vertical="center"/>
    </xf>
    <xf numFmtId="0" fontId="38" fillId="12" borderId="178" xfId="1" applyFont="1" applyFill="1" applyBorder="1" applyAlignment="1">
      <alignment vertical="center"/>
    </xf>
    <xf numFmtId="0" fontId="38" fillId="12" borderId="179" xfId="1" applyFont="1" applyFill="1" applyBorder="1" applyAlignment="1">
      <alignment vertical="center"/>
    </xf>
    <xf numFmtId="0" fontId="38" fillId="12" borderId="15" xfId="1" applyFont="1" applyFill="1" applyBorder="1" applyAlignment="1">
      <alignment horizontal="left" vertical="center" indent="1"/>
    </xf>
    <xf numFmtId="0" fontId="38" fillId="12" borderId="180" xfId="1" applyFont="1" applyFill="1" applyBorder="1" applyAlignment="1">
      <alignment vertical="center"/>
    </xf>
    <xf numFmtId="0" fontId="38" fillId="12" borderId="38" xfId="1" applyFont="1" applyFill="1" applyBorder="1" applyAlignment="1">
      <alignment vertical="center"/>
    </xf>
    <xf numFmtId="0" fontId="38" fillId="12" borderId="181" xfId="1" applyFont="1" applyFill="1" applyBorder="1" applyAlignment="1">
      <alignment vertical="center"/>
    </xf>
    <xf numFmtId="0" fontId="38" fillId="0" borderId="182" xfId="1" applyFont="1" applyBorder="1" applyAlignment="1">
      <alignment vertical="center"/>
    </xf>
    <xf numFmtId="0" fontId="38" fillId="0" borderId="154" xfId="1" applyFont="1" applyBorder="1" applyAlignment="1">
      <alignment vertical="center"/>
    </xf>
    <xf numFmtId="0" fontId="38" fillId="0" borderId="183" xfId="1" applyFont="1" applyBorder="1" applyAlignment="1">
      <alignment vertical="center"/>
    </xf>
    <xf numFmtId="0" fontId="59" fillId="12" borderId="184" xfId="1" applyFont="1" applyFill="1" applyBorder="1" applyAlignment="1">
      <alignment horizontal="left" vertical="center" indent="1"/>
    </xf>
    <xf numFmtId="0" fontId="38" fillId="12" borderId="22" xfId="1" applyFont="1" applyFill="1" applyBorder="1" applyAlignment="1">
      <alignment horizontal="left" vertical="center" indent="1"/>
    </xf>
    <xf numFmtId="0" fontId="38" fillId="12" borderId="40" xfId="1" applyFont="1" applyFill="1" applyBorder="1" applyAlignment="1">
      <alignment horizontal="left" vertical="center" indent="1"/>
    </xf>
    <xf numFmtId="0" fontId="38" fillId="12" borderId="185" xfId="1" applyFont="1" applyFill="1" applyBorder="1" applyAlignment="1">
      <alignment horizontal="left" vertical="center" indent="1"/>
    </xf>
    <xf numFmtId="0" fontId="38" fillId="12" borderId="76" xfId="1" applyFont="1" applyFill="1" applyBorder="1" applyAlignment="1">
      <alignment vertical="center"/>
    </xf>
    <xf numFmtId="0" fontId="38" fillId="12" borderId="51" xfId="1" applyFont="1" applyFill="1" applyBorder="1" applyAlignment="1">
      <alignment vertical="center"/>
    </xf>
    <xf numFmtId="0" fontId="38" fillId="12" borderId="186" xfId="1" applyFont="1" applyFill="1" applyBorder="1" applyAlignment="1">
      <alignment vertical="center"/>
    </xf>
    <xf numFmtId="0" fontId="38" fillId="15" borderId="187" xfId="1" applyFont="1" applyFill="1" applyBorder="1" applyAlignment="1">
      <alignment vertical="center"/>
    </xf>
    <xf numFmtId="0" fontId="38" fillId="15" borderId="78" xfId="1" applyFont="1" applyFill="1" applyBorder="1" applyAlignment="1">
      <alignment vertical="center"/>
    </xf>
    <xf numFmtId="0" fontId="38" fillId="15" borderId="37" xfId="1" applyFont="1" applyFill="1" applyBorder="1" applyAlignment="1">
      <alignment vertical="center"/>
    </xf>
    <xf numFmtId="0" fontId="38" fillId="15" borderId="188" xfId="1" applyFont="1" applyFill="1" applyBorder="1" applyAlignment="1">
      <alignment vertical="center"/>
    </xf>
    <xf numFmtId="0" fontId="38" fillId="15" borderId="189" xfId="1" applyFont="1" applyFill="1" applyBorder="1" applyAlignment="1">
      <alignment vertical="center"/>
    </xf>
    <xf numFmtId="0" fontId="38" fillId="15" borderId="78" xfId="1" applyFont="1" applyFill="1" applyBorder="1" applyAlignment="1">
      <alignment horizontal="left" vertical="center" indent="1"/>
    </xf>
    <xf numFmtId="0" fontId="38" fillId="15" borderId="190" xfId="1" applyFont="1" applyFill="1" applyBorder="1" applyAlignment="1">
      <alignment vertical="center"/>
    </xf>
    <xf numFmtId="0" fontId="38" fillId="15" borderId="191" xfId="1" applyFont="1" applyFill="1" applyBorder="1" applyAlignment="1">
      <alignment vertical="center"/>
    </xf>
    <xf numFmtId="0" fontId="38" fillId="15" borderId="192" xfId="1" applyFont="1" applyFill="1" applyBorder="1" applyAlignment="1">
      <alignment vertical="center"/>
    </xf>
    <xf numFmtId="0" fontId="38" fillId="15" borderId="177" xfId="1" applyFont="1" applyFill="1" applyBorder="1" applyAlignment="1">
      <alignment vertical="center"/>
    </xf>
    <xf numFmtId="0" fontId="38" fillId="15" borderId="15" xfId="1" applyFont="1" applyFill="1" applyBorder="1" applyAlignment="1">
      <alignment vertical="center"/>
    </xf>
    <xf numFmtId="0" fontId="38" fillId="15" borderId="16" xfId="1" applyFont="1" applyFill="1" applyBorder="1" applyAlignment="1">
      <alignment vertical="center"/>
    </xf>
    <xf numFmtId="0" fontId="38" fillId="15" borderId="178" xfId="1" applyFont="1" applyFill="1" applyBorder="1" applyAlignment="1">
      <alignment vertical="center"/>
    </xf>
    <xf numFmtId="0" fontId="38" fillId="15" borderId="179" xfId="1" applyFont="1" applyFill="1" applyBorder="1" applyAlignment="1">
      <alignment vertical="center"/>
    </xf>
    <xf numFmtId="0" fontId="38" fillId="15" borderId="15" xfId="1" applyFont="1" applyFill="1" applyBorder="1" applyAlignment="1">
      <alignment horizontal="left" vertical="center" indent="1"/>
    </xf>
    <xf numFmtId="0" fontId="38" fillId="15" borderId="180" xfId="1" applyFont="1" applyFill="1" applyBorder="1" applyAlignment="1">
      <alignment vertical="center"/>
    </xf>
    <xf numFmtId="0" fontId="38" fillId="15" borderId="38" xfId="1" applyFont="1" applyFill="1" applyBorder="1" applyAlignment="1">
      <alignment vertical="center"/>
    </xf>
    <xf numFmtId="0" fontId="38" fillId="15" borderId="181" xfId="1" applyFont="1" applyFill="1" applyBorder="1" applyAlignment="1">
      <alignment vertical="center"/>
    </xf>
    <xf numFmtId="0" fontId="61" fillId="0" borderId="0" xfId="1" applyFont="1" applyBorder="1" applyAlignment="1">
      <alignment vertical="center"/>
    </xf>
    <xf numFmtId="0" fontId="59" fillId="15" borderId="177" xfId="1" applyFont="1" applyFill="1" applyBorder="1" applyAlignment="1">
      <alignment vertical="center"/>
    </xf>
    <xf numFmtId="0" fontId="59" fillId="15" borderId="184" xfId="1" applyFont="1" applyFill="1" applyBorder="1" applyAlignment="1">
      <alignment horizontal="left" vertical="center" indent="1"/>
    </xf>
    <xf numFmtId="0" fontId="38" fillId="15" borderId="22" xfId="1" applyFont="1" applyFill="1" applyBorder="1" applyAlignment="1">
      <alignment horizontal="left" vertical="center" indent="1"/>
    </xf>
    <xf numFmtId="0" fontId="38" fillId="15" borderId="40" xfId="1" applyFont="1" applyFill="1" applyBorder="1" applyAlignment="1">
      <alignment horizontal="left" vertical="center" indent="1"/>
    </xf>
    <xf numFmtId="0" fontId="38" fillId="15" borderId="185" xfId="1" applyFont="1" applyFill="1" applyBorder="1" applyAlignment="1">
      <alignment horizontal="left" vertical="center" indent="1"/>
    </xf>
    <xf numFmtId="0" fontId="38" fillId="15" borderId="76" xfId="1" applyFont="1" applyFill="1" applyBorder="1" applyAlignment="1">
      <alignment vertical="center"/>
    </xf>
    <xf numFmtId="0" fontId="38" fillId="15" borderId="193" xfId="1" applyFont="1" applyFill="1" applyBorder="1" applyAlignment="1">
      <alignment horizontal="left" vertical="center" indent="1"/>
    </xf>
    <xf numFmtId="0" fontId="38" fillId="15" borderId="194" xfId="1" applyFont="1" applyFill="1" applyBorder="1" applyAlignment="1">
      <alignment horizontal="left" vertical="center" indent="1"/>
    </xf>
    <xf numFmtId="0" fontId="38" fillId="0" borderId="0" xfId="1" applyFont="1" applyBorder="1" applyAlignment="1">
      <alignment horizontal="left" vertical="center" indent="1"/>
    </xf>
    <xf numFmtId="0" fontId="38" fillId="14" borderId="195" xfId="1" applyFont="1" applyFill="1" applyBorder="1" applyAlignment="1">
      <alignment vertical="center"/>
    </xf>
    <xf numFmtId="0" fontId="38" fillId="14" borderId="196" xfId="1" applyFont="1" applyFill="1" applyBorder="1" applyAlignment="1">
      <alignment horizontal="left" vertical="center" indent="1"/>
    </xf>
    <xf numFmtId="0" fontId="38" fillId="14" borderId="196" xfId="1" applyFont="1" applyFill="1" applyBorder="1" applyAlignment="1">
      <alignment vertical="center"/>
    </xf>
    <xf numFmtId="0" fontId="38" fillId="14" borderId="78" xfId="1" applyFont="1" applyFill="1" applyBorder="1" applyAlignment="1">
      <alignment horizontal="left" vertical="center" indent="1"/>
    </xf>
    <xf numFmtId="0" fontId="38" fillId="14" borderId="190" xfId="1" applyFont="1" applyFill="1" applyBorder="1" applyAlignment="1">
      <alignment horizontal="left" vertical="center" indent="1"/>
    </xf>
    <xf numFmtId="0" fontId="38" fillId="14" borderId="188" xfId="1" applyFont="1" applyFill="1" applyBorder="1" applyAlignment="1">
      <alignment horizontal="left" vertical="center" indent="1"/>
    </xf>
    <xf numFmtId="0" fontId="38" fillId="14" borderId="37" xfId="1" applyFont="1" applyFill="1" applyBorder="1" applyAlignment="1">
      <alignment horizontal="left" vertical="center" indent="1"/>
    </xf>
    <xf numFmtId="0" fontId="38" fillId="14" borderId="189" xfId="1" applyFont="1" applyFill="1" applyBorder="1" applyAlignment="1">
      <alignment horizontal="left" vertical="center" indent="1"/>
    </xf>
    <xf numFmtId="0" fontId="38" fillId="14" borderId="191" xfId="1" applyFont="1" applyFill="1" applyBorder="1" applyAlignment="1">
      <alignment horizontal="left" vertical="center" indent="1"/>
    </xf>
    <xf numFmtId="0" fontId="38" fillId="14" borderId="197" xfId="1" applyFont="1" applyFill="1" applyBorder="1" applyAlignment="1">
      <alignment horizontal="left" vertical="center" indent="1"/>
    </xf>
    <xf numFmtId="0" fontId="38" fillId="14" borderId="177" xfId="1" applyFont="1" applyFill="1" applyBorder="1" applyAlignment="1">
      <alignment vertical="center"/>
    </xf>
    <xf numFmtId="0" fontId="38" fillId="14" borderId="15" xfId="1" applyFont="1" applyFill="1" applyBorder="1" applyAlignment="1">
      <alignment horizontal="left" vertical="center" indent="1"/>
    </xf>
    <xf numFmtId="0" fontId="38" fillId="14" borderId="15" xfId="1" applyFont="1" applyFill="1" applyBorder="1" applyAlignment="1">
      <alignment vertical="center"/>
    </xf>
    <xf numFmtId="0" fontId="38" fillId="14" borderId="180" xfId="1" applyFont="1" applyFill="1" applyBorder="1" applyAlignment="1">
      <alignment horizontal="left" vertical="center" indent="1"/>
    </xf>
    <xf numFmtId="0" fontId="38" fillId="14" borderId="178" xfId="1" applyFont="1" applyFill="1" applyBorder="1" applyAlignment="1">
      <alignment horizontal="left" vertical="center" indent="1"/>
    </xf>
    <xf numFmtId="0" fontId="38" fillId="14" borderId="16" xfId="1" applyFont="1" applyFill="1" applyBorder="1" applyAlignment="1">
      <alignment horizontal="left" vertical="center" indent="1"/>
    </xf>
    <xf numFmtId="0" fontId="38" fillId="14" borderId="179" xfId="1" applyFont="1" applyFill="1" applyBorder="1" applyAlignment="1">
      <alignment horizontal="left" vertical="center" indent="1"/>
    </xf>
    <xf numFmtId="0" fontId="38" fillId="14" borderId="38" xfId="1" applyFont="1" applyFill="1" applyBorder="1" applyAlignment="1">
      <alignment horizontal="left" vertical="center" indent="1"/>
    </xf>
    <xf numFmtId="0" fontId="38" fillId="14" borderId="181" xfId="1" applyFont="1" applyFill="1" applyBorder="1" applyAlignment="1">
      <alignment horizontal="left" vertical="center" indent="1"/>
    </xf>
    <xf numFmtId="0" fontId="59" fillId="14" borderId="198" xfId="1" applyFont="1" applyFill="1" applyBorder="1" applyAlignment="1">
      <alignment horizontal="left" vertical="center" indent="1"/>
    </xf>
    <xf numFmtId="0" fontId="38" fillId="14" borderId="51" xfId="1" applyFont="1" applyFill="1" applyBorder="1" applyAlignment="1">
      <alignment vertical="center"/>
    </xf>
    <xf numFmtId="0" fontId="59" fillId="14" borderId="51" xfId="1" applyFont="1" applyFill="1" applyBorder="1" applyAlignment="1">
      <alignment horizontal="left" vertical="center" indent="1"/>
    </xf>
    <xf numFmtId="0" fontId="38" fillId="14" borderId="51" xfId="1" applyFont="1" applyFill="1" applyBorder="1" applyAlignment="1">
      <alignment horizontal="left" vertical="center" indent="1"/>
    </xf>
    <xf numFmtId="0" fontId="38" fillId="14" borderId="0" xfId="1" applyFont="1" applyFill="1" applyBorder="1" applyAlignment="1">
      <alignment vertical="center"/>
    </xf>
    <xf numFmtId="0" fontId="38" fillId="14" borderId="199" xfId="1" applyFont="1" applyFill="1" applyBorder="1" applyAlignment="1">
      <alignment horizontal="left" vertical="center" indent="1"/>
    </xf>
    <xf numFmtId="0" fontId="38" fillId="14" borderId="200" xfId="1" applyFont="1" applyFill="1" applyBorder="1" applyAlignment="1">
      <alignment horizontal="left" vertical="center" indent="1"/>
    </xf>
    <xf numFmtId="0" fontId="38" fillId="14" borderId="52" xfId="1" applyFont="1" applyFill="1" applyBorder="1" applyAlignment="1">
      <alignment horizontal="left" vertical="center" indent="1"/>
    </xf>
    <xf numFmtId="0" fontId="38" fillId="14" borderId="186" xfId="1" applyFont="1" applyFill="1" applyBorder="1" applyAlignment="1">
      <alignment horizontal="left" vertical="center" indent="1"/>
    </xf>
    <xf numFmtId="0" fontId="38" fillId="0" borderId="92" xfId="1" applyFont="1" applyBorder="1" applyAlignment="1">
      <alignment vertical="center"/>
    </xf>
    <xf numFmtId="0" fontId="38" fillId="0" borderId="53" xfId="1" applyFont="1" applyBorder="1" applyAlignment="1">
      <alignment horizontal="center" vertical="center"/>
    </xf>
    <xf numFmtId="0" fontId="59" fillId="13" borderId="201" xfId="1" applyFont="1" applyFill="1" applyBorder="1" applyAlignment="1">
      <alignment horizontal="left" vertical="center" indent="1"/>
    </xf>
    <xf numFmtId="0" fontId="38" fillId="13" borderId="164" xfId="1" applyFont="1" applyFill="1" applyBorder="1" applyAlignment="1">
      <alignment vertical="center"/>
    </xf>
    <xf numFmtId="0" fontId="38" fillId="13" borderId="3" xfId="1" applyFont="1" applyFill="1" applyBorder="1" applyAlignment="1">
      <alignment vertical="center"/>
    </xf>
    <xf numFmtId="0" fontId="38" fillId="13" borderId="165" xfId="1" applyFont="1" applyFill="1" applyBorder="1" applyAlignment="1">
      <alignment vertical="center"/>
    </xf>
    <xf numFmtId="0" fontId="38" fillId="13" borderId="166" xfId="1" applyFont="1" applyFill="1" applyBorder="1" applyAlignment="1">
      <alignment vertical="center"/>
    </xf>
    <xf numFmtId="0" fontId="38" fillId="13" borderId="167" xfId="1" applyFont="1" applyFill="1" applyBorder="1" applyAlignment="1">
      <alignment vertical="center"/>
    </xf>
    <xf numFmtId="0" fontId="38" fillId="13" borderId="164" xfId="1" applyFont="1" applyFill="1" applyBorder="1" applyAlignment="1">
      <alignment horizontal="left" vertical="center" indent="1"/>
    </xf>
    <xf numFmtId="0" fontId="38" fillId="13" borderId="168" xfId="1" applyFont="1" applyFill="1" applyBorder="1" applyAlignment="1">
      <alignment vertical="center"/>
    </xf>
    <xf numFmtId="0" fontId="38" fillId="13" borderId="170" xfId="1" applyFont="1" applyFill="1" applyBorder="1" applyAlignment="1">
      <alignment vertical="center"/>
    </xf>
    <xf numFmtId="0" fontId="38" fillId="13" borderId="171" xfId="1" applyFont="1" applyFill="1" applyBorder="1" applyAlignment="1">
      <alignment vertical="center"/>
    </xf>
    <xf numFmtId="0" fontId="38" fillId="14" borderId="202" xfId="1" applyFont="1" applyFill="1" applyBorder="1" applyAlignment="1">
      <alignment vertical="center"/>
    </xf>
    <xf numFmtId="0" fontId="38" fillId="14" borderId="54" xfId="1" applyFont="1" applyFill="1" applyBorder="1" applyAlignment="1">
      <alignment vertical="center"/>
    </xf>
    <xf numFmtId="0" fontId="38" fillId="14" borderId="55" xfId="1" applyFont="1" applyFill="1" applyBorder="1" applyAlignment="1">
      <alignment vertical="center"/>
    </xf>
    <xf numFmtId="0" fontId="38" fillId="14" borderId="203" xfId="1" applyFont="1" applyFill="1" applyBorder="1" applyAlignment="1">
      <alignment horizontal="left" vertical="center" indent="1"/>
    </xf>
    <xf numFmtId="0" fontId="59" fillId="14" borderId="54" xfId="1" applyFont="1" applyFill="1" applyBorder="1" applyAlignment="1">
      <alignment horizontal="left" vertical="center" indent="1"/>
    </xf>
    <xf numFmtId="0" fontId="38" fillId="14" borderId="204" xfId="1" applyFont="1" applyFill="1" applyBorder="1" applyAlignment="1">
      <alignment vertical="center"/>
    </xf>
    <xf numFmtId="0" fontId="38" fillId="14" borderId="205" xfId="1" applyFont="1" applyFill="1" applyBorder="1" applyAlignment="1">
      <alignment vertical="center"/>
    </xf>
    <xf numFmtId="0" fontId="38" fillId="14" borderId="56" xfId="1" applyFont="1" applyFill="1" applyBorder="1" applyAlignment="1">
      <alignment vertical="center"/>
    </xf>
    <xf numFmtId="0" fontId="38" fillId="14" borderId="206" xfId="1" applyFont="1" applyFill="1" applyBorder="1" applyAlignment="1">
      <alignment vertical="center"/>
    </xf>
    <xf numFmtId="0" fontId="38" fillId="9" borderId="207" xfId="1" applyFont="1" applyFill="1" applyBorder="1" applyAlignment="1">
      <alignment vertical="center"/>
    </xf>
    <xf numFmtId="0" fontId="38" fillId="9" borderId="157" xfId="1" applyFont="1" applyFill="1" applyBorder="1" applyAlignment="1">
      <alignment vertical="center"/>
    </xf>
    <xf numFmtId="0" fontId="38" fillId="9" borderId="208" xfId="1" applyFont="1" applyFill="1" applyBorder="1" applyAlignment="1">
      <alignment vertical="center"/>
    </xf>
    <xf numFmtId="0" fontId="38" fillId="14" borderId="16" xfId="1" applyFont="1" applyFill="1" applyBorder="1" applyAlignment="1">
      <alignment vertical="center"/>
    </xf>
    <xf numFmtId="0" fontId="59" fillId="14" borderId="15" xfId="1" applyFont="1" applyFill="1" applyBorder="1" applyAlignment="1">
      <alignment horizontal="left" vertical="center" indent="1"/>
    </xf>
    <xf numFmtId="0" fontId="38" fillId="14" borderId="179" xfId="1" applyFont="1" applyFill="1" applyBorder="1" applyAlignment="1">
      <alignment vertical="center"/>
    </xf>
    <xf numFmtId="0" fontId="38" fillId="14" borderId="180" xfId="1" applyFont="1" applyFill="1" applyBorder="1" applyAlignment="1">
      <alignment vertical="center"/>
    </xf>
    <xf numFmtId="0" fontId="38" fillId="14" borderId="38" xfId="1" applyFont="1" applyFill="1" applyBorder="1" applyAlignment="1">
      <alignment vertical="center"/>
    </xf>
    <xf numFmtId="0" fontId="38" fillId="14" borderId="181" xfId="1" applyFont="1" applyFill="1" applyBorder="1" applyAlignment="1">
      <alignment vertical="center"/>
    </xf>
    <xf numFmtId="0" fontId="38" fillId="9" borderId="209" xfId="1" applyFont="1" applyFill="1" applyBorder="1" applyAlignment="1">
      <alignment vertical="center"/>
    </xf>
    <xf numFmtId="0" fontId="38" fillId="9" borderId="29" xfId="1" applyFont="1" applyFill="1" applyBorder="1" applyAlignment="1">
      <alignment vertical="center"/>
    </xf>
    <xf numFmtId="0" fontId="38" fillId="9" borderId="210" xfId="1" applyFont="1" applyFill="1" applyBorder="1" applyAlignment="1">
      <alignment vertical="center"/>
    </xf>
    <xf numFmtId="0" fontId="59" fillId="14" borderId="178" xfId="1" applyFont="1" applyFill="1" applyBorder="1" applyAlignment="1">
      <alignment horizontal="left" vertical="center" indent="1"/>
    </xf>
    <xf numFmtId="0" fontId="38" fillId="14" borderId="211" xfId="1" applyFont="1" applyFill="1" applyBorder="1" applyAlignment="1">
      <alignment vertical="center"/>
    </xf>
    <xf numFmtId="0" fontId="38" fillId="14" borderId="57" xfId="1" applyFont="1" applyFill="1" applyBorder="1" applyAlignment="1">
      <alignment vertical="center"/>
    </xf>
    <xf numFmtId="0" fontId="38" fillId="14" borderId="59" xfId="1" applyFont="1" applyFill="1" applyBorder="1" applyAlignment="1">
      <alignment vertical="center"/>
    </xf>
    <xf numFmtId="0" fontId="38" fillId="14" borderId="212" xfId="1" applyFont="1" applyFill="1" applyBorder="1" applyAlignment="1">
      <alignment vertical="center"/>
    </xf>
    <xf numFmtId="0" fontId="38" fillId="14" borderId="213" xfId="1" applyFont="1" applyFill="1" applyBorder="1" applyAlignment="1">
      <alignment vertical="center"/>
    </xf>
    <xf numFmtId="0" fontId="38" fillId="14" borderId="57" xfId="1" applyFont="1" applyFill="1" applyBorder="1" applyAlignment="1">
      <alignment horizontal="left" vertical="center" indent="1"/>
    </xf>
    <xf numFmtId="0" fontId="38" fillId="14" borderId="214" xfId="1" applyFont="1" applyFill="1" applyBorder="1" applyAlignment="1">
      <alignment vertical="center"/>
    </xf>
    <xf numFmtId="0" fontId="38" fillId="14" borderId="58" xfId="1" applyFont="1" applyFill="1" applyBorder="1" applyAlignment="1">
      <alignment vertical="center"/>
    </xf>
    <xf numFmtId="0" fontId="38" fillId="14" borderId="215" xfId="1" applyFont="1" applyFill="1" applyBorder="1" applyAlignment="1">
      <alignment vertical="center"/>
    </xf>
    <xf numFmtId="0" fontId="38" fillId="9" borderId="216" xfId="1" applyFont="1" applyFill="1" applyBorder="1" applyAlignment="1">
      <alignment vertical="center"/>
    </xf>
    <xf numFmtId="0" fontId="38" fillId="9" borderId="217" xfId="1" applyFont="1" applyFill="1" applyBorder="1" applyAlignment="1">
      <alignment vertical="center"/>
    </xf>
    <xf numFmtId="0" fontId="38" fillId="9" borderId="218" xfId="1" applyFont="1" applyFill="1" applyBorder="1" applyAlignment="1">
      <alignment vertical="center"/>
    </xf>
    <xf numFmtId="0" fontId="38" fillId="14" borderId="172" xfId="1" applyFont="1" applyFill="1" applyBorder="1" applyAlignment="1">
      <alignment vertical="center"/>
    </xf>
    <xf numFmtId="0" fontId="38" fillId="14" borderId="35" xfId="1" applyFont="1" applyFill="1" applyBorder="1" applyAlignment="1">
      <alignment vertical="center"/>
    </xf>
    <xf numFmtId="0" fontId="38" fillId="14" borderId="61" xfId="1" applyFont="1" applyFill="1" applyBorder="1" applyAlignment="1">
      <alignment vertical="center"/>
    </xf>
    <xf numFmtId="0" fontId="38" fillId="14" borderId="173" xfId="1" applyFont="1" applyFill="1" applyBorder="1" applyAlignment="1">
      <alignment vertical="center"/>
    </xf>
    <xf numFmtId="0" fontId="38" fillId="14" borderId="174" xfId="1" applyFont="1" applyFill="1" applyBorder="1" applyAlignment="1">
      <alignment vertical="center"/>
    </xf>
    <xf numFmtId="0" fontId="38" fillId="14" borderId="35" xfId="1" applyFont="1" applyFill="1" applyBorder="1" applyAlignment="1">
      <alignment horizontal="left" vertical="center" indent="1"/>
    </xf>
    <xf numFmtId="0" fontId="38" fillId="14" borderId="175" xfId="1" applyFont="1" applyFill="1" applyBorder="1" applyAlignment="1">
      <alignment vertical="center"/>
    </xf>
    <xf numFmtId="0" fontId="38" fillId="14" borderId="53" xfId="1" applyFont="1" applyFill="1" applyBorder="1" applyAlignment="1">
      <alignment vertical="center"/>
    </xf>
    <xf numFmtId="0" fontId="38" fillId="14" borderId="178" xfId="1" applyFont="1" applyFill="1" applyBorder="1" applyAlignment="1">
      <alignment vertical="center"/>
    </xf>
    <xf numFmtId="0" fontId="38" fillId="14" borderId="198" xfId="1" applyFont="1" applyFill="1" applyBorder="1" applyAlignment="1">
      <alignment vertical="center"/>
    </xf>
    <xf numFmtId="0" fontId="38" fillId="14" borderId="33" xfId="1" applyFont="1" applyFill="1" applyBorder="1" applyAlignment="1">
      <alignment vertical="center"/>
    </xf>
    <xf numFmtId="0" fontId="38" fillId="14" borderId="200" xfId="1" applyFont="1" applyFill="1" applyBorder="1" applyAlignment="1">
      <alignment vertical="center"/>
    </xf>
    <xf numFmtId="0" fontId="38" fillId="14" borderId="219" xfId="1" applyFont="1" applyFill="1" applyBorder="1" applyAlignment="1">
      <alignment vertical="center"/>
    </xf>
    <xf numFmtId="0" fontId="38" fillId="14" borderId="199" xfId="1" applyFont="1" applyFill="1" applyBorder="1" applyAlignment="1">
      <alignment vertical="center"/>
    </xf>
    <xf numFmtId="0" fontId="38" fillId="14" borderId="52" xfId="1" applyFont="1" applyFill="1" applyBorder="1" applyAlignment="1">
      <alignment vertical="center"/>
    </xf>
    <xf numFmtId="0" fontId="38" fillId="14" borderId="203" xfId="1" applyFont="1" applyFill="1" applyBorder="1" applyAlignment="1">
      <alignment vertical="center"/>
    </xf>
    <xf numFmtId="0" fontId="38" fillId="14" borderId="54" xfId="1" applyFont="1" applyFill="1" applyBorder="1" applyAlignment="1">
      <alignment horizontal="left" vertical="center" indent="1"/>
    </xf>
    <xf numFmtId="0" fontId="59" fillId="14" borderId="211" xfId="1" applyFont="1" applyFill="1" applyBorder="1" applyAlignment="1">
      <alignment vertical="center"/>
    </xf>
    <xf numFmtId="0" fontId="38" fillId="14" borderId="0" xfId="1" applyFont="1" applyFill="1" applyAlignment="1">
      <alignment vertical="center"/>
    </xf>
    <xf numFmtId="0" fontId="59" fillId="13" borderId="220" xfId="1" applyFont="1" applyFill="1" applyBorder="1" applyAlignment="1">
      <alignment vertical="center"/>
    </xf>
    <xf numFmtId="0" fontId="38" fillId="13" borderId="221" xfId="1" applyFont="1" applyFill="1" applyBorder="1" applyAlignment="1">
      <alignment vertical="center"/>
    </xf>
    <xf numFmtId="0" fontId="38" fillId="13" borderId="139" xfId="1" applyFont="1" applyFill="1" applyBorder="1" applyAlignment="1">
      <alignment vertical="center"/>
    </xf>
    <xf numFmtId="0" fontId="38" fillId="13" borderId="222" xfId="1" applyFont="1" applyFill="1" applyBorder="1" applyAlignment="1">
      <alignment vertical="center"/>
    </xf>
    <xf numFmtId="0" fontId="38" fillId="16" borderId="223" xfId="1" applyFont="1" applyFill="1" applyBorder="1" applyAlignment="1">
      <alignment vertical="center"/>
    </xf>
    <xf numFmtId="0" fontId="38" fillId="8" borderId="224" xfId="1" applyFont="1" applyFill="1" applyBorder="1" applyAlignment="1">
      <alignment vertical="center"/>
    </xf>
    <xf numFmtId="0" fontId="59" fillId="18" borderId="225" xfId="1" applyFont="1" applyFill="1" applyBorder="1" applyAlignment="1">
      <alignment vertical="center"/>
    </xf>
    <xf numFmtId="0" fontId="38" fillId="18" borderId="54" xfId="1" applyFont="1" applyFill="1" applyBorder="1" applyAlignment="1">
      <alignment vertical="center"/>
    </xf>
    <xf numFmtId="0" fontId="38" fillId="18" borderId="55" xfId="1" applyFont="1" applyFill="1" applyBorder="1" applyAlignment="1">
      <alignment vertical="center"/>
    </xf>
    <xf numFmtId="0" fontId="38" fillId="18" borderId="203" xfId="1" applyFont="1" applyFill="1" applyBorder="1" applyAlignment="1">
      <alignment vertical="center"/>
    </xf>
    <xf numFmtId="0" fontId="38" fillId="18" borderId="204" xfId="1" applyFont="1" applyFill="1" applyBorder="1" applyAlignment="1">
      <alignment vertical="center"/>
    </xf>
    <xf numFmtId="0" fontId="38" fillId="18" borderId="54" xfId="1" applyFont="1" applyFill="1" applyBorder="1" applyAlignment="1">
      <alignment horizontal="left" vertical="center" indent="1"/>
    </xf>
    <xf numFmtId="0" fontId="38" fillId="18" borderId="205" xfId="1" applyFont="1" applyFill="1" applyBorder="1" applyAlignment="1">
      <alignment vertical="center"/>
    </xf>
    <xf numFmtId="0" fontId="38" fillId="18" borderId="56" xfId="1" applyFont="1" applyFill="1" applyBorder="1" applyAlignment="1">
      <alignment vertical="center"/>
    </xf>
    <xf numFmtId="0" fontId="38" fillId="18" borderId="226" xfId="1" applyFont="1" applyFill="1" applyBorder="1" applyAlignment="1">
      <alignment vertical="center"/>
    </xf>
    <xf numFmtId="0" fontId="38" fillId="8" borderId="228" xfId="1" applyFont="1" applyFill="1" applyBorder="1" applyAlignment="1">
      <alignment vertical="center"/>
    </xf>
    <xf numFmtId="0" fontId="59" fillId="18" borderId="229" xfId="1" applyFont="1" applyFill="1" applyBorder="1" applyAlignment="1">
      <alignment vertical="center"/>
    </xf>
    <xf numFmtId="0" fontId="38" fillId="18" borderId="15" xfId="1" applyFont="1" applyFill="1" applyBorder="1" applyAlignment="1">
      <alignment vertical="center"/>
    </xf>
    <xf numFmtId="0" fontId="38" fillId="18" borderId="16" xfId="1" applyFont="1" applyFill="1" applyBorder="1" applyAlignment="1">
      <alignment vertical="center"/>
    </xf>
    <xf numFmtId="0" fontId="38" fillId="18" borderId="178" xfId="1" applyFont="1" applyFill="1" applyBorder="1" applyAlignment="1">
      <alignment vertical="center"/>
    </xf>
    <xf numFmtId="0" fontId="38" fillId="18" borderId="179" xfId="1" applyFont="1" applyFill="1" applyBorder="1" applyAlignment="1">
      <alignment vertical="center"/>
    </xf>
    <xf numFmtId="0" fontId="38" fillId="18" borderId="15" xfId="1" applyFont="1" applyFill="1" applyBorder="1" applyAlignment="1">
      <alignment horizontal="left" vertical="center" indent="1"/>
    </xf>
    <xf numFmtId="0" fontId="38" fillId="18" borderId="180" xfId="1" applyFont="1" applyFill="1" applyBorder="1" applyAlignment="1">
      <alignment vertical="center"/>
    </xf>
    <xf numFmtId="0" fontId="38" fillId="18" borderId="38" xfId="1" applyFont="1" applyFill="1" applyBorder="1" applyAlignment="1">
      <alignment vertical="center"/>
    </xf>
    <xf numFmtId="0" fontId="38" fillId="18" borderId="230" xfId="1" applyFont="1" applyFill="1" applyBorder="1" applyAlignment="1">
      <alignment vertical="center"/>
    </xf>
    <xf numFmtId="0" fontId="59" fillId="18" borderId="231" xfId="1" applyFont="1" applyFill="1" applyBorder="1" applyAlignment="1">
      <alignment vertical="center"/>
    </xf>
    <xf numFmtId="0" fontId="38" fillId="18" borderId="57" xfId="1" applyFont="1" applyFill="1" applyBorder="1" applyAlignment="1">
      <alignment vertical="center"/>
    </xf>
    <xf numFmtId="0" fontId="38" fillId="18" borderId="58" xfId="1" applyFont="1" applyFill="1" applyBorder="1" applyAlignment="1">
      <alignment vertical="center"/>
    </xf>
    <xf numFmtId="0" fontId="38" fillId="18" borderId="0" xfId="1" applyFont="1" applyFill="1" applyAlignment="1">
      <alignment vertical="center"/>
    </xf>
    <xf numFmtId="0" fontId="38" fillId="18" borderId="59" xfId="1" applyFont="1" applyFill="1" applyBorder="1" applyAlignment="1">
      <alignment vertical="center"/>
    </xf>
    <xf numFmtId="0" fontId="38" fillId="18" borderId="212" xfId="1" applyFont="1" applyFill="1" applyBorder="1" applyAlignment="1">
      <alignment vertical="center"/>
    </xf>
    <xf numFmtId="0" fontId="38" fillId="18" borderId="213" xfId="1" applyFont="1" applyFill="1" applyBorder="1" applyAlignment="1">
      <alignment vertical="center"/>
    </xf>
    <xf numFmtId="0" fontId="38" fillId="18" borderId="214" xfId="1" applyFont="1" applyFill="1" applyBorder="1" applyAlignment="1">
      <alignment vertical="center"/>
    </xf>
    <xf numFmtId="0" fontId="38" fillId="18" borderId="232" xfId="1" applyFont="1" applyFill="1" applyBorder="1" applyAlignment="1">
      <alignment vertical="center"/>
    </xf>
    <xf numFmtId="0" fontId="38" fillId="14" borderId="202" xfId="1" applyFont="1" applyFill="1" applyBorder="1" applyAlignment="1">
      <alignment horizontal="left" vertical="center" indent="1"/>
    </xf>
    <xf numFmtId="0" fontId="38" fillId="12" borderId="60" xfId="1" applyFont="1" applyFill="1" applyBorder="1" applyAlignment="1">
      <alignment vertical="center"/>
    </xf>
    <xf numFmtId="0" fontId="38" fillId="12" borderId="54" xfId="1" applyFont="1" applyFill="1" applyBorder="1" applyAlignment="1">
      <alignment vertical="center"/>
    </xf>
    <xf numFmtId="0" fontId="38" fillId="12" borderId="226" xfId="1" applyFont="1" applyFill="1" applyBorder="1" applyAlignment="1">
      <alignment vertical="center"/>
    </xf>
    <xf numFmtId="0" fontId="59" fillId="14" borderId="177" xfId="1" applyFont="1" applyFill="1" applyBorder="1" applyAlignment="1">
      <alignment vertical="center"/>
    </xf>
    <xf numFmtId="0" fontId="38" fillId="12" borderId="21" xfId="1" applyFont="1" applyFill="1" applyBorder="1" applyAlignment="1">
      <alignment vertical="center"/>
    </xf>
    <xf numFmtId="0" fontId="38" fillId="12" borderId="22" xfId="1" applyFont="1" applyFill="1" applyBorder="1" applyAlignment="1">
      <alignment vertical="center"/>
    </xf>
    <xf numFmtId="0" fontId="38" fillId="12" borderId="233" xfId="1" applyFont="1" applyFill="1" applyBorder="1" applyAlignment="1">
      <alignment vertical="center"/>
    </xf>
    <xf numFmtId="0" fontId="59" fillId="14" borderId="198" xfId="1" applyFont="1" applyFill="1" applyBorder="1" applyAlignment="1">
      <alignment vertical="center"/>
    </xf>
    <xf numFmtId="0" fontId="38" fillId="14" borderId="29" xfId="1" applyFont="1" applyFill="1" applyBorder="1" applyAlignment="1">
      <alignment vertical="center"/>
    </xf>
    <xf numFmtId="0" fontId="38" fillId="14" borderId="234" xfId="1" applyFont="1" applyFill="1" applyBorder="1" applyAlignment="1">
      <alignment vertical="center"/>
    </xf>
    <xf numFmtId="0" fontId="38" fillId="16" borderId="235" xfId="1" applyFont="1" applyFill="1" applyBorder="1" applyAlignment="1">
      <alignment vertical="center"/>
    </xf>
    <xf numFmtId="0" fontId="38" fillId="8" borderId="236" xfId="1" applyFont="1" applyFill="1" applyBorder="1" applyAlignment="1">
      <alignment horizontal="left" vertical="center" indent="1"/>
    </xf>
    <xf numFmtId="0" fontId="38" fillId="8" borderId="237" xfId="1" applyFont="1" applyFill="1" applyBorder="1" applyAlignment="1">
      <alignment vertical="center"/>
    </xf>
    <xf numFmtId="0" fontId="38" fillId="0" borderId="238" xfId="1" applyFont="1" applyBorder="1" applyAlignment="1">
      <alignment horizontal="center" vertical="center"/>
    </xf>
    <xf numFmtId="0" fontId="59" fillId="18" borderId="241" xfId="1" applyFont="1" applyFill="1" applyBorder="1" applyAlignment="1">
      <alignment horizontal="left" vertical="center" indent="1"/>
    </xf>
    <xf numFmtId="0" fontId="38" fillId="18" borderId="239" xfId="1" applyFont="1" applyFill="1" applyBorder="1" applyAlignment="1">
      <alignment vertical="center"/>
    </xf>
    <xf numFmtId="0" fontId="38" fillId="18" borderId="239" xfId="1" applyFont="1" applyFill="1" applyBorder="1" applyAlignment="1">
      <alignment horizontal="left" vertical="center" indent="1"/>
    </xf>
    <xf numFmtId="0" fontId="38" fillId="18" borderId="242" xfId="1" applyFont="1" applyFill="1" applyBorder="1" applyAlignment="1">
      <alignment vertical="center"/>
    </xf>
    <xf numFmtId="0" fontId="38" fillId="18" borderId="243" xfId="1" applyFont="1" applyFill="1" applyBorder="1" applyAlignment="1">
      <alignment vertical="center"/>
    </xf>
    <xf numFmtId="0" fontId="38" fillId="18" borderId="244" xfId="1" applyFont="1" applyFill="1" applyBorder="1" applyAlignment="1">
      <alignment vertical="center"/>
    </xf>
    <xf numFmtId="0" fontId="38" fillId="18" borderId="245" xfId="1" applyFont="1" applyFill="1" applyBorder="1" applyAlignment="1">
      <alignment vertical="center"/>
    </xf>
    <xf numFmtId="0" fontId="38" fillId="18" borderId="246" xfId="1" applyFont="1" applyFill="1" applyBorder="1" applyAlignment="1">
      <alignment vertical="center"/>
    </xf>
    <xf numFmtId="0" fontId="38" fillId="18" borderId="247" xfId="1" applyFont="1" applyFill="1" applyBorder="1" applyAlignment="1">
      <alignment vertical="center"/>
    </xf>
    <xf numFmtId="0" fontId="38" fillId="19" borderId="246" xfId="1" applyFont="1" applyFill="1" applyBorder="1" applyAlignment="1">
      <alignment vertical="center"/>
    </xf>
    <xf numFmtId="0" fontId="38" fillId="19" borderId="239" xfId="1" applyFont="1" applyFill="1" applyBorder="1" applyAlignment="1">
      <alignment vertical="center"/>
    </xf>
    <xf numFmtId="0" fontId="38" fillId="19" borderId="248" xfId="1" applyFont="1" applyFill="1" applyBorder="1" applyAlignment="1">
      <alignment vertical="center"/>
    </xf>
    <xf numFmtId="0" fontId="38" fillId="17" borderId="240" xfId="1" applyFont="1" applyFill="1" applyBorder="1" applyAlignment="1">
      <alignment horizontal="center" vertical="center"/>
    </xf>
    <xf numFmtId="0" fontId="59" fillId="18" borderId="177" xfId="1" applyFont="1" applyFill="1" applyBorder="1" applyAlignment="1">
      <alignment vertical="center"/>
    </xf>
    <xf numFmtId="0" fontId="38" fillId="18" borderId="0" xfId="1" applyFont="1" applyFill="1" applyBorder="1" applyAlignment="1">
      <alignment vertical="center"/>
    </xf>
    <xf numFmtId="0" fontId="38" fillId="18" borderId="33" xfId="1" applyFont="1" applyFill="1" applyBorder="1" applyAlignment="1">
      <alignment vertical="center"/>
    </xf>
    <xf numFmtId="0" fontId="38" fillId="18" borderId="200" xfId="1" applyFont="1" applyFill="1" applyBorder="1" applyAlignment="1">
      <alignment vertical="center"/>
    </xf>
    <xf numFmtId="0" fontId="38" fillId="18" borderId="51" xfId="1" applyFont="1" applyFill="1" applyBorder="1" applyAlignment="1">
      <alignment vertical="center"/>
    </xf>
    <xf numFmtId="0" fontId="38" fillId="18" borderId="219" xfId="1" applyFont="1" applyFill="1" applyBorder="1" applyAlignment="1">
      <alignment vertical="center"/>
    </xf>
    <xf numFmtId="0" fontId="38" fillId="18" borderId="199" xfId="1" applyFont="1" applyFill="1" applyBorder="1" applyAlignment="1">
      <alignment vertical="center"/>
    </xf>
    <xf numFmtId="0" fontId="38" fillId="18" borderId="52" xfId="1" applyFont="1" applyFill="1" applyBorder="1" applyAlignment="1">
      <alignment vertical="center"/>
    </xf>
    <xf numFmtId="0" fontId="38" fillId="19" borderId="58" xfId="1" applyFont="1" applyFill="1" applyBorder="1" applyAlignment="1">
      <alignment vertical="center"/>
    </xf>
    <xf numFmtId="0" fontId="38" fillId="19" borderId="57" xfId="1" applyFont="1" applyFill="1" applyBorder="1" applyAlignment="1">
      <alignment vertical="center"/>
    </xf>
    <xf numFmtId="0" fontId="38" fillId="19" borderId="215" xfId="1" applyFont="1" applyFill="1" applyBorder="1" applyAlignment="1">
      <alignment vertical="center"/>
    </xf>
    <xf numFmtId="0" fontId="38" fillId="17" borderId="0" xfId="1" applyFont="1" applyFill="1" applyAlignment="1">
      <alignment horizontal="center" vertical="center"/>
    </xf>
    <xf numFmtId="0" fontId="59" fillId="13" borderId="249" xfId="1" applyFont="1" applyFill="1" applyBorder="1" applyAlignment="1">
      <alignment vertical="center"/>
    </xf>
    <xf numFmtId="0" fontId="38" fillId="13" borderId="250" xfId="1" applyFont="1" applyFill="1" applyBorder="1" applyAlignment="1">
      <alignment vertical="center"/>
    </xf>
    <xf numFmtId="0" fontId="38" fillId="13" borderId="251" xfId="1" applyFont="1" applyFill="1" applyBorder="1" applyAlignment="1">
      <alignment horizontal="left" vertical="center" indent="1"/>
    </xf>
    <xf numFmtId="0" fontId="38" fillId="13" borderId="252" xfId="1" applyFont="1" applyFill="1" applyBorder="1" applyAlignment="1">
      <alignment vertical="center"/>
    </xf>
    <xf numFmtId="0" fontId="38" fillId="13" borderId="253" xfId="1" applyFont="1" applyFill="1" applyBorder="1" applyAlignment="1">
      <alignment vertical="center"/>
    </xf>
    <xf numFmtId="0" fontId="38" fillId="13" borderId="254" xfId="1" applyFont="1" applyFill="1" applyBorder="1" applyAlignment="1">
      <alignment vertical="center"/>
    </xf>
    <xf numFmtId="0" fontId="38" fillId="13" borderId="255" xfId="1" applyFont="1" applyFill="1" applyBorder="1" applyAlignment="1">
      <alignment vertical="center"/>
    </xf>
    <xf numFmtId="0" fontId="38" fillId="13" borderId="251" xfId="1" applyFont="1" applyFill="1" applyBorder="1" applyAlignment="1">
      <alignment vertical="center"/>
    </xf>
    <xf numFmtId="0" fontId="38" fillId="13" borderId="217" xfId="1" applyFont="1" applyFill="1" applyBorder="1" applyAlignment="1">
      <alignment vertical="center"/>
    </xf>
    <xf numFmtId="0" fontId="38" fillId="13" borderId="256" xfId="1" applyFont="1" applyFill="1" applyBorder="1" applyAlignment="1">
      <alignment vertical="center"/>
    </xf>
    <xf numFmtId="0" fontId="38" fillId="0" borderId="35" xfId="1" applyFont="1" applyBorder="1" applyAlignment="1">
      <alignment horizontal="center" vertical="center" textRotation="180"/>
    </xf>
    <xf numFmtId="0" fontId="38" fillId="0" borderId="15" xfId="1" applyFont="1" applyBorder="1" applyAlignment="1">
      <alignment horizontal="center" vertical="center" textRotation="180"/>
    </xf>
    <xf numFmtId="0" fontId="38" fillId="12" borderId="35" xfId="1" applyFont="1" applyFill="1" applyBorder="1" applyAlignment="1">
      <alignment horizontal="center" vertical="center" textRotation="180"/>
    </xf>
    <xf numFmtId="0" fontId="38" fillId="0" borderId="0" xfId="1" applyFont="1" applyBorder="1" applyAlignment="1">
      <alignment vertical="top" textRotation="180"/>
    </xf>
    <xf numFmtId="0" fontId="61" fillId="0" borderId="0" xfId="1" applyFont="1" applyAlignment="1">
      <alignment vertical="center"/>
    </xf>
    <xf numFmtId="0" fontId="39" fillId="0" borderId="0" xfId="0" applyFont="1" applyAlignment="1">
      <alignment horizontal="left" vertical="center" indent="1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62" fillId="0" borderId="0" xfId="0" applyFont="1" applyAlignment="1">
      <alignment horizontal="left" vertical="center" indent="1"/>
    </xf>
    <xf numFmtId="0" fontId="62" fillId="0" borderId="0" xfId="0" applyFont="1" applyAlignment="1">
      <alignment vertical="center"/>
    </xf>
    <xf numFmtId="0" fontId="24" fillId="0" borderId="0" xfId="0" applyFont="1" applyAlignment="1">
      <alignment horizontal="left" vertical="center" indent="1"/>
    </xf>
    <xf numFmtId="0" fontId="15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 indent="1"/>
    </xf>
    <xf numFmtId="0" fontId="24" fillId="0" borderId="257" xfId="0" applyFont="1" applyBorder="1" applyAlignment="1">
      <alignment horizontal="left" vertical="center" indent="1"/>
    </xf>
    <xf numFmtId="0" fontId="24" fillId="0" borderId="257" xfId="0" applyFont="1" applyBorder="1" applyAlignment="1">
      <alignment vertical="center"/>
    </xf>
    <xf numFmtId="0" fontId="0" fillId="0" borderId="257" xfId="0" applyFont="1" applyBorder="1" applyAlignment="1">
      <alignment vertical="center"/>
    </xf>
    <xf numFmtId="0" fontId="63" fillId="0" borderId="0" xfId="43" applyFont="1" applyAlignment="1">
      <alignment horizontal="left" vertical="center" indent="1"/>
    </xf>
    <xf numFmtId="0" fontId="64" fillId="0" borderId="0" xfId="43" applyFont="1" applyAlignment="1">
      <alignment vertical="center"/>
    </xf>
    <xf numFmtId="0" fontId="24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22" fillId="3" borderId="258" xfId="0" applyFont="1" applyFill="1" applyBorder="1" applyAlignment="1">
      <alignment horizontal="left" vertical="center" indent="1"/>
    </xf>
    <xf numFmtId="0" fontId="0" fillId="3" borderId="0" xfId="0" applyFont="1" applyFill="1" applyAlignment="1">
      <alignment vertical="center"/>
    </xf>
    <xf numFmtId="0" fontId="22" fillId="3" borderId="24" xfId="0" applyFont="1" applyFill="1" applyBorder="1" applyAlignment="1">
      <alignment horizontal="center" vertical="center"/>
    </xf>
    <xf numFmtId="0" fontId="22" fillId="3" borderId="259" xfId="0" applyFont="1" applyFill="1" applyBorder="1" applyAlignment="1">
      <alignment horizontal="center" vertical="center"/>
    </xf>
    <xf numFmtId="2" fontId="63" fillId="0" borderId="0" xfId="43" applyNumberFormat="1" applyFont="1" applyAlignment="1">
      <alignment horizontal="left" vertical="center" indent="1"/>
    </xf>
    <xf numFmtId="0" fontId="64" fillId="0" borderId="0" xfId="43" applyFont="1" applyAlignment="1">
      <alignment horizontal="right" vertical="center" indent="1"/>
    </xf>
    <xf numFmtId="0" fontId="25" fillId="0" borderId="0" xfId="0" applyFont="1"/>
    <xf numFmtId="0" fontId="35" fillId="0" borderId="0" xfId="44" applyFont="1" applyAlignment="1">
      <alignment horizontal="left" indent="1"/>
    </xf>
    <xf numFmtId="0" fontId="69" fillId="0" borderId="0" xfId="0" applyFont="1"/>
    <xf numFmtId="0" fontId="35" fillId="0" borderId="0" xfId="44" applyFont="1"/>
    <xf numFmtId="0" fontId="70" fillId="0" borderId="0" xfId="44" applyFont="1" applyAlignment="1">
      <alignment horizontal="left" indent="1"/>
    </xf>
    <xf numFmtId="0" fontId="0" fillId="0" borderId="257" xfId="0" applyFont="1" applyBorder="1" applyAlignment="1">
      <alignment horizontal="left" vertical="center" indent="1"/>
    </xf>
    <xf numFmtId="0" fontId="64" fillId="0" borderId="257" xfId="43" applyFont="1" applyBorder="1" applyAlignment="1">
      <alignment vertical="center"/>
    </xf>
    <xf numFmtId="0" fontId="70" fillId="0" borderId="257" xfId="44" applyFont="1" applyBorder="1" applyAlignment="1">
      <alignment horizontal="left" indent="1"/>
    </xf>
    <xf numFmtId="0" fontId="70" fillId="0" borderId="257" xfId="44" applyFont="1" applyBorder="1"/>
    <xf numFmtId="0" fontId="72" fillId="0" borderId="0" xfId="0" applyFont="1"/>
    <xf numFmtId="0" fontId="12" fillId="0" borderId="0" xfId="0" applyFont="1" applyAlignment="1">
      <alignment horizontal="left" vertical="center" indent="1"/>
    </xf>
    <xf numFmtId="0" fontId="12" fillId="0" borderId="0" xfId="0" applyFont="1" applyAlignment="1">
      <alignment vertical="center"/>
    </xf>
    <xf numFmtId="0" fontId="16" fillId="0" borderId="0" xfId="0" applyFont="1" applyAlignment="1">
      <alignment horizontal="left" vertical="center" indent="2"/>
    </xf>
    <xf numFmtId="0" fontId="16" fillId="20" borderId="2" xfId="0" applyFont="1" applyFill="1" applyBorder="1" applyAlignment="1">
      <alignment horizontal="left" vertical="center" indent="1"/>
    </xf>
    <xf numFmtId="0" fontId="22" fillId="20" borderId="3" xfId="0" applyFont="1" applyFill="1" applyBorder="1" applyAlignment="1">
      <alignment vertical="center"/>
    </xf>
    <xf numFmtId="0" fontId="0" fillId="20" borderId="3" xfId="0" applyFont="1" applyFill="1" applyBorder="1" applyAlignment="1">
      <alignment vertical="center"/>
    </xf>
    <xf numFmtId="0" fontId="0" fillId="20" borderId="62" xfId="0" applyFont="1" applyFill="1" applyBorder="1" applyAlignment="1">
      <alignment vertical="center"/>
    </xf>
    <xf numFmtId="0" fontId="16" fillId="21" borderId="260" xfId="0" applyFont="1" applyFill="1" applyBorder="1" applyAlignment="1">
      <alignment horizontal="left" vertical="center" indent="1"/>
    </xf>
    <xf numFmtId="0" fontId="0" fillId="21" borderId="25" xfId="0" applyFont="1" applyFill="1" applyBorder="1" applyAlignment="1">
      <alignment vertical="center"/>
    </xf>
    <xf numFmtId="0" fontId="0" fillId="21" borderId="32" xfId="0" applyFont="1" applyFill="1" applyBorder="1" applyAlignment="1">
      <alignment vertical="center"/>
    </xf>
    <xf numFmtId="0" fontId="0" fillId="0" borderId="0" xfId="0" applyAlignment="1">
      <alignment horizontal="left" vertical="center" indent="1"/>
    </xf>
    <xf numFmtId="0" fontId="3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2" fillId="3" borderId="5" xfId="0" applyFont="1" applyFill="1" applyBorder="1" applyAlignment="1">
      <alignment horizontal="center" vertical="center"/>
    </xf>
    <xf numFmtId="0" fontId="0" fillId="3" borderId="75" xfId="0" applyFont="1" applyFill="1" applyBorder="1" applyAlignment="1">
      <alignment vertical="center"/>
    </xf>
    <xf numFmtId="0" fontId="41" fillId="3" borderId="75" xfId="0" applyFont="1" applyFill="1" applyBorder="1" applyAlignment="1">
      <alignment horizontal="left" vertical="center" indent="1"/>
    </xf>
    <xf numFmtId="0" fontId="0" fillId="3" borderId="50" xfId="0" applyFont="1" applyFill="1" applyBorder="1" applyAlignment="1">
      <alignment vertical="center"/>
    </xf>
    <xf numFmtId="0" fontId="0" fillId="3" borderId="260" xfId="0" applyFill="1" applyBorder="1"/>
    <xf numFmtId="0" fontId="25" fillId="3" borderId="25" xfId="0" applyFont="1" applyFill="1" applyBorder="1"/>
    <xf numFmtId="0" fontId="25" fillId="3" borderId="32" xfId="0" applyFont="1" applyFill="1" applyBorder="1"/>
    <xf numFmtId="0" fontId="25" fillId="5" borderId="0" xfId="0" applyFont="1" applyFill="1" applyBorder="1"/>
    <xf numFmtId="0" fontId="76" fillId="0" borderId="0" xfId="0" applyFont="1" applyBorder="1" applyAlignment="1">
      <alignment horizontal="left" vertical="center" indent="1"/>
    </xf>
    <xf numFmtId="0" fontId="77" fillId="0" borderId="0" xfId="0" applyFont="1"/>
    <xf numFmtId="0" fontId="0" fillId="3" borderId="10" xfId="0" applyFont="1" applyFill="1" applyBorder="1" applyAlignment="1">
      <alignment vertical="center"/>
    </xf>
    <xf numFmtId="0" fontId="0" fillId="3" borderId="76" xfId="0" applyFont="1" applyFill="1" applyBorder="1" applyAlignment="1">
      <alignment vertical="center"/>
    </xf>
    <xf numFmtId="0" fontId="0" fillId="3" borderId="265" xfId="0" applyFont="1" applyFill="1" applyBorder="1" applyAlignment="1">
      <alignment vertical="center"/>
    </xf>
    <xf numFmtId="0" fontId="25" fillId="3" borderId="258" xfId="0" applyFont="1" applyFill="1" applyBorder="1"/>
    <xf numFmtId="0" fontId="25" fillId="3" borderId="24" xfId="0" applyFont="1" applyFill="1" applyBorder="1"/>
    <xf numFmtId="0" fontId="25" fillId="3" borderId="259" xfId="0" applyFont="1" applyFill="1" applyBorder="1"/>
    <xf numFmtId="0" fontId="78" fillId="0" borderId="0" xfId="0" applyFont="1" applyAlignment="1">
      <alignment horizontal="left" indent="1"/>
    </xf>
    <xf numFmtId="0" fontId="24" fillId="3" borderId="266" xfId="0" applyFont="1" applyFill="1" applyBorder="1" applyAlignment="1">
      <alignment horizontal="left" vertical="center"/>
    </xf>
    <xf numFmtId="0" fontId="24" fillId="3" borderId="41" xfId="0" applyFont="1" applyFill="1" applyBorder="1" applyAlignment="1">
      <alignment vertical="center"/>
    </xf>
    <xf numFmtId="0" fontId="0" fillId="5" borderId="0" xfId="0" applyFill="1" applyBorder="1"/>
    <xf numFmtId="0" fontId="16" fillId="0" borderId="0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84" fillId="0" borderId="0" xfId="0" applyFont="1"/>
    <xf numFmtId="0" fontId="0" fillId="3" borderId="5" xfId="0" applyFont="1" applyFill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42" fillId="5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25" xfId="0" applyFill="1" applyBorder="1"/>
    <xf numFmtId="0" fontId="0" fillId="3" borderId="32" xfId="0" applyFill="1" applyBorder="1"/>
    <xf numFmtId="0" fontId="76" fillId="0" borderId="0" xfId="0" applyFont="1" applyAlignment="1">
      <alignment horizontal="left" vertical="center" indent="1"/>
    </xf>
    <xf numFmtId="0" fontId="78" fillId="0" borderId="0" xfId="0" applyFont="1"/>
    <xf numFmtId="0" fontId="0" fillId="3" borderId="258" xfId="0" applyFill="1" applyBorder="1"/>
    <xf numFmtId="0" fontId="0" fillId="3" borderId="24" xfId="0" applyFill="1" applyBorder="1"/>
    <xf numFmtId="0" fontId="0" fillId="0" borderId="257" xfId="0" applyFont="1" applyBorder="1" applyAlignment="1">
      <alignment horizontal="center" vertical="center"/>
    </xf>
    <xf numFmtId="0" fontId="35" fillId="0" borderId="0" xfId="0" applyFont="1"/>
    <xf numFmtId="0" fontId="34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vertical="center"/>
    </xf>
    <xf numFmtId="3" fontId="16" fillId="5" borderId="3" xfId="0" applyNumberFormat="1" applyFont="1" applyFill="1" applyBorder="1" applyAlignment="1">
      <alignment horizontal="left" vertical="center" indent="1"/>
    </xf>
    <xf numFmtId="0" fontId="0" fillId="0" borderId="62" xfId="0" applyFont="1" applyBorder="1" applyAlignment="1">
      <alignment vertical="center"/>
    </xf>
    <xf numFmtId="0" fontId="0" fillId="0" borderId="264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 indent="1"/>
    </xf>
    <xf numFmtId="0" fontId="0" fillId="0" borderId="0" xfId="0" applyFont="1" applyAlignment="1">
      <alignment horizontal="left" indent="1"/>
    </xf>
    <xf numFmtId="0" fontId="0" fillId="5" borderId="264" xfId="0" applyFont="1" applyFill="1" applyBorder="1" applyAlignment="1">
      <alignment vertical="center"/>
    </xf>
    <xf numFmtId="0" fontId="89" fillId="0" borderId="0" xfId="0" applyFont="1" applyAlignment="1">
      <alignment horizontal="left" indent="1"/>
    </xf>
    <xf numFmtId="0" fontId="22" fillId="5" borderId="0" xfId="0" applyFont="1" applyFill="1" applyBorder="1" applyAlignment="1">
      <alignment horizontal="left" vertical="center" indent="1"/>
    </xf>
    <xf numFmtId="0" fontId="0" fillId="0" borderId="2" xfId="0" applyFont="1" applyBorder="1" applyAlignment="1">
      <alignment horizontal="left" vertical="center"/>
    </xf>
    <xf numFmtId="0" fontId="0" fillId="0" borderId="62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indent="1"/>
    </xf>
    <xf numFmtId="0" fontId="91" fillId="0" borderId="0" xfId="45" applyFont="1" applyAlignment="1">
      <alignment horizontal="center" vertical="center"/>
    </xf>
    <xf numFmtId="0" fontId="92" fillId="0" borderId="0" xfId="43" applyFont="1" applyAlignment="1">
      <alignment horizontal="left" vertical="center"/>
    </xf>
    <xf numFmtId="0" fontId="93" fillId="0" borderId="0" xfId="43" applyFont="1" applyAlignment="1">
      <alignment horizontal="left" vertical="center" indent="1"/>
    </xf>
    <xf numFmtId="0" fontId="38" fillId="0" borderId="0" xfId="43" applyFont="1" applyAlignment="1">
      <alignment horizontal="left" vertical="center" indent="1"/>
    </xf>
    <xf numFmtId="0" fontId="93" fillId="0" borderId="269" xfId="43" applyFont="1" applyBorder="1" applyAlignment="1">
      <alignment horizontal="center" vertical="center"/>
    </xf>
    <xf numFmtId="0" fontId="93" fillId="0" borderId="270" xfId="43" applyFont="1" applyBorder="1" applyAlignment="1">
      <alignment horizontal="center" vertical="center"/>
    </xf>
    <xf numFmtId="171" fontId="93" fillId="0" borderId="89" xfId="43" applyNumberFormat="1" applyFont="1" applyBorder="1" applyAlignment="1">
      <alignment horizontal="left" vertical="center" indent="1"/>
    </xf>
    <xf numFmtId="0" fontId="93" fillId="0" borderId="0" xfId="43" applyFont="1" applyBorder="1" applyAlignment="1">
      <alignment horizontal="center" vertical="center"/>
    </xf>
    <xf numFmtId="0" fontId="93" fillId="0" borderId="0" xfId="43" applyFont="1" applyBorder="1" applyAlignment="1">
      <alignment horizontal="left" vertical="center" indent="1"/>
    </xf>
    <xf numFmtId="172" fontId="93" fillId="8" borderId="0" xfId="46" applyNumberFormat="1" applyFont="1" applyFill="1" applyBorder="1" applyAlignment="1" applyProtection="1">
      <alignment horizontal="right" vertical="center"/>
      <protection locked="0"/>
    </xf>
    <xf numFmtId="0" fontId="91" fillId="0" borderId="0" xfId="45" applyFont="1" applyAlignment="1">
      <alignment vertical="center"/>
    </xf>
    <xf numFmtId="0" fontId="91" fillId="0" borderId="0" xfId="45" applyFont="1" applyAlignment="1">
      <alignment horizontal="left" vertical="center" indent="1"/>
    </xf>
    <xf numFmtId="0" fontId="93" fillId="0" borderId="271" xfId="43" applyFont="1" applyBorder="1" applyAlignment="1">
      <alignment horizontal="center" vertical="center"/>
    </xf>
    <xf numFmtId="0" fontId="93" fillId="0" borderId="272" xfId="43" applyFont="1" applyBorder="1" applyAlignment="1">
      <alignment horizontal="center" vertical="center"/>
    </xf>
    <xf numFmtId="171" fontId="93" fillId="0" borderId="90" xfId="43" applyNumberFormat="1" applyFont="1" applyBorder="1" applyAlignment="1">
      <alignment horizontal="left" vertical="center" indent="1"/>
    </xf>
    <xf numFmtId="172" fontId="94" fillId="8" borderId="0" xfId="43" applyNumberFormat="1" applyFont="1" applyFill="1" applyBorder="1" applyAlignment="1">
      <alignment horizontal="right" vertical="center"/>
    </xf>
    <xf numFmtId="0" fontId="92" fillId="8" borderId="77" xfId="43" applyFont="1" applyFill="1" applyBorder="1" applyAlignment="1">
      <alignment horizontal="center" vertical="center"/>
    </xf>
    <xf numFmtId="0" fontId="92" fillId="8" borderId="78" xfId="43" quotePrefix="1" applyFont="1" applyFill="1" applyBorder="1" applyAlignment="1">
      <alignment horizontal="left" vertical="center" indent="1"/>
    </xf>
    <xf numFmtId="0" fontId="92" fillId="8" borderId="78" xfId="43" applyFont="1" applyFill="1" applyBorder="1" applyAlignment="1">
      <alignment horizontal="left" vertical="center" indent="1"/>
    </xf>
    <xf numFmtId="3" fontId="92" fillId="3" borderId="79" xfId="46" applyNumberFormat="1" applyFont="1" applyFill="1" applyBorder="1" applyAlignment="1" applyProtection="1">
      <alignment horizontal="left" vertical="center" indent="1"/>
      <protection locked="0"/>
    </xf>
    <xf numFmtId="0" fontId="93" fillId="8" borderId="0" xfId="43" quotePrefix="1" applyFont="1" applyFill="1" applyBorder="1" applyAlignment="1">
      <alignment horizontal="left" vertical="center" indent="1"/>
    </xf>
    <xf numFmtId="3" fontId="93" fillId="8" borderId="0" xfId="46" applyNumberFormat="1" applyFont="1" applyFill="1" applyBorder="1" applyAlignment="1" applyProtection="1">
      <alignment horizontal="right" vertical="center"/>
      <protection locked="0"/>
    </xf>
    <xf numFmtId="0" fontId="92" fillId="0" borderId="19" xfId="43" applyFont="1" applyBorder="1" applyAlignment="1">
      <alignment horizontal="center" vertical="center"/>
    </xf>
    <xf numFmtId="0" fontId="92" fillId="8" borderId="15" xfId="43" applyFont="1" applyFill="1" applyBorder="1" applyAlignment="1">
      <alignment horizontal="left" vertical="center" indent="1"/>
    </xf>
    <xf numFmtId="43" fontId="92" fillId="3" borderId="26" xfId="46" applyFont="1" applyFill="1" applyBorder="1" applyAlignment="1" applyProtection="1">
      <alignment horizontal="left" vertical="center" indent="1"/>
      <protection locked="0"/>
    </xf>
    <xf numFmtId="0" fontId="93" fillId="8" borderId="0" xfId="43" applyFont="1" applyFill="1" applyBorder="1" applyAlignment="1">
      <alignment horizontal="left" vertical="center" indent="1"/>
    </xf>
    <xf numFmtId="43" fontId="93" fillId="0" borderId="0" xfId="46" applyFont="1" applyFill="1" applyBorder="1" applyAlignment="1" applyProtection="1">
      <alignment horizontal="right" vertical="center"/>
      <protection locked="0"/>
    </xf>
    <xf numFmtId="0" fontId="95" fillId="0" borderId="21" xfId="45" applyFont="1" applyBorder="1" applyAlignment="1">
      <alignment horizontal="center" vertical="center"/>
    </xf>
    <xf numFmtId="0" fontId="95" fillId="0" borderId="22" xfId="45" applyFont="1" applyBorder="1" applyAlignment="1">
      <alignment horizontal="left" vertical="center" indent="1"/>
    </xf>
    <xf numFmtId="0" fontId="95" fillId="0" borderId="22" xfId="45" applyFont="1" applyBorder="1" applyAlignment="1">
      <alignment vertical="center"/>
    </xf>
    <xf numFmtId="0" fontId="95" fillId="3" borderId="4" xfId="45" applyFont="1" applyFill="1" applyBorder="1" applyAlignment="1">
      <alignment horizontal="left" vertical="center" indent="1"/>
    </xf>
    <xf numFmtId="2" fontId="93" fillId="0" borderId="0" xfId="46" applyNumberFormat="1" applyFont="1" applyBorder="1" applyAlignment="1">
      <alignment horizontal="right" vertical="center"/>
    </xf>
    <xf numFmtId="0" fontId="95" fillId="0" borderId="273" xfId="45" applyFont="1" applyBorder="1" applyAlignment="1">
      <alignment horizontal="center" vertical="center"/>
    </xf>
    <xf numFmtId="0" fontId="91" fillId="0" borderId="274" xfId="45" applyFont="1" applyBorder="1" applyAlignment="1">
      <alignment horizontal="left" vertical="center" indent="1"/>
    </xf>
    <xf numFmtId="0" fontId="91" fillId="0" borderId="35" xfId="45" applyFont="1" applyBorder="1" applyAlignment="1">
      <alignment vertical="center"/>
    </xf>
    <xf numFmtId="0" fontId="91" fillId="0" borderId="275" xfId="45" applyFont="1" applyBorder="1" applyAlignment="1">
      <alignment vertical="center"/>
    </xf>
    <xf numFmtId="0" fontId="95" fillId="2" borderId="133" xfId="45" applyFont="1" applyFill="1" applyBorder="1" applyAlignment="1">
      <alignment horizontal="left" vertical="center" indent="1"/>
    </xf>
    <xf numFmtId="43" fontId="93" fillId="0" borderId="0" xfId="43" applyNumberFormat="1" applyFont="1" applyBorder="1" applyAlignment="1">
      <alignment horizontal="right" vertical="center"/>
    </xf>
    <xf numFmtId="0" fontId="95" fillId="0" borderId="271" xfId="45" applyFont="1" applyBorder="1" applyAlignment="1">
      <alignment horizontal="center" vertical="center"/>
    </xf>
    <xf numFmtId="0" fontId="95" fillId="0" borderId="276" xfId="45" applyFont="1" applyBorder="1" applyAlignment="1">
      <alignment horizontal="left" vertical="center" indent="1"/>
    </xf>
    <xf numFmtId="0" fontId="95" fillId="0" borderId="15" xfId="45" applyFont="1" applyBorder="1" applyAlignment="1">
      <alignment vertical="center"/>
    </xf>
    <xf numFmtId="0" fontId="95" fillId="0" borderId="277" xfId="45" applyFont="1" applyBorder="1" applyAlignment="1">
      <alignment vertical="center"/>
    </xf>
    <xf numFmtId="43" fontId="92" fillId="3" borderId="94" xfId="46" applyFont="1" applyFill="1" applyBorder="1" applyAlignment="1" applyProtection="1">
      <alignment horizontal="left" vertical="center" indent="1"/>
      <protection locked="0"/>
    </xf>
    <xf numFmtId="0" fontId="93" fillId="0" borderId="278" xfId="43" applyFont="1" applyBorder="1" applyAlignment="1">
      <alignment horizontal="center" vertical="center"/>
    </xf>
    <xf numFmtId="0" fontId="93" fillId="0" borderId="279" xfId="43" applyFont="1" applyBorder="1" applyAlignment="1">
      <alignment horizontal="center" vertical="center"/>
    </xf>
    <xf numFmtId="171" fontId="93" fillId="0" borderId="91" xfId="43" applyNumberFormat="1" applyFont="1" applyBorder="1" applyAlignment="1">
      <alignment horizontal="left" vertical="center" indent="1"/>
    </xf>
    <xf numFmtId="0" fontId="93" fillId="8" borderId="280" xfId="43" applyFont="1" applyFill="1" applyBorder="1" applyAlignment="1">
      <alignment horizontal="left" vertical="center" indent="1"/>
    </xf>
    <xf numFmtId="165" fontId="93" fillId="0" borderId="0" xfId="46" applyNumberFormat="1" applyFont="1" applyBorder="1" applyAlignment="1">
      <alignment horizontal="right" vertical="center"/>
    </xf>
    <xf numFmtId="0" fontId="92" fillId="8" borderId="271" xfId="43" applyFont="1" applyFill="1" applyBorder="1" applyAlignment="1">
      <alignment horizontal="center" vertical="center"/>
    </xf>
    <xf numFmtId="0" fontId="93" fillId="0" borderId="276" xfId="43" applyFont="1" applyBorder="1" applyAlignment="1">
      <alignment horizontal="left" vertical="center" indent="1"/>
    </xf>
    <xf numFmtId="0" fontId="92" fillId="0" borderId="15" xfId="43" applyFont="1" applyBorder="1" applyAlignment="1">
      <alignment horizontal="left" vertical="center" indent="1"/>
    </xf>
    <xf numFmtId="0" fontId="92" fillId="0" borderId="277" xfId="43" applyFont="1" applyBorder="1" applyAlignment="1">
      <alignment horizontal="left" vertical="center" indent="1"/>
    </xf>
    <xf numFmtId="172" fontId="92" fillId="2" borderId="94" xfId="46" applyNumberFormat="1" applyFont="1" applyFill="1" applyBorder="1" applyAlignment="1" applyProtection="1">
      <alignment horizontal="left" vertical="center" indent="1"/>
      <protection locked="0"/>
    </xf>
    <xf numFmtId="0" fontId="93" fillId="8" borderId="0" xfId="43" applyFont="1" applyFill="1" applyBorder="1" applyAlignment="1">
      <alignment horizontal="center" vertical="center"/>
    </xf>
    <xf numFmtId="172" fontId="93" fillId="0" borderId="0" xfId="43" applyNumberFormat="1" applyFont="1" applyBorder="1" applyAlignment="1">
      <alignment horizontal="right" vertical="center"/>
    </xf>
    <xf numFmtId="0" fontId="92" fillId="8" borderId="281" xfId="43" applyFont="1" applyFill="1" applyBorder="1" applyAlignment="1">
      <alignment horizontal="center" vertical="center"/>
    </xf>
    <xf numFmtId="0" fontId="93" fillId="0" borderId="70" xfId="43" applyFont="1" applyBorder="1" applyAlignment="1">
      <alignment horizontal="left" vertical="center" indent="1"/>
    </xf>
    <xf numFmtId="0" fontId="92" fillId="0" borderId="57" xfId="43" applyFont="1" applyBorder="1" applyAlignment="1">
      <alignment horizontal="left" vertical="center" indent="1"/>
    </xf>
    <xf numFmtId="0" fontId="92" fillId="0" borderId="282" xfId="43" applyFont="1" applyBorder="1" applyAlignment="1">
      <alignment horizontal="left" vertical="center" indent="1"/>
    </xf>
    <xf numFmtId="172" fontId="96" fillId="2" borderId="283" xfId="43" applyNumberFormat="1" applyFont="1" applyFill="1" applyBorder="1" applyAlignment="1">
      <alignment horizontal="left" vertical="center" indent="1"/>
    </xf>
    <xf numFmtId="173" fontId="93" fillId="0" borderId="0" xfId="43" applyNumberFormat="1" applyFont="1" applyBorder="1" applyAlignment="1">
      <alignment horizontal="right" vertical="center"/>
    </xf>
    <xf numFmtId="0" fontId="93" fillId="0" borderId="273" xfId="43" applyFont="1" applyBorder="1" applyAlignment="1">
      <alignment horizontal="center" vertical="center"/>
    </xf>
    <xf numFmtId="0" fontId="93" fillId="8" borderId="274" xfId="43" applyFont="1" applyFill="1" applyBorder="1" applyAlignment="1">
      <alignment horizontal="left" vertical="center" indent="1"/>
    </xf>
    <xf numFmtId="0" fontId="93" fillId="8" borderId="92" xfId="43" applyFont="1" applyFill="1" applyBorder="1" applyAlignment="1">
      <alignment horizontal="left" vertical="center" indent="1"/>
    </xf>
    <xf numFmtId="43" fontId="93" fillId="3" borderId="284" xfId="43" applyNumberFormat="1" applyFont="1" applyFill="1" applyBorder="1" applyAlignment="1">
      <alignment horizontal="left" vertical="center" indent="1"/>
    </xf>
    <xf numFmtId="0" fontId="93" fillId="8" borderId="276" xfId="43" applyFont="1" applyFill="1" applyBorder="1" applyAlignment="1">
      <alignment horizontal="left" vertical="center" indent="1"/>
    </xf>
    <xf numFmtId="0" fontId="93" fillId="8" borderId="90" xfId="43" applyFont="1" applyFill="1" applyBorder="1" applyAlignment="1">
      <alignment horizontal="left" vertical="center" indent="1"/>
    </xf>
    <xf numFmtId="2" fontId="93" fillId="3" borderId="272" xfId="46" applyNumberFormat="1" applyFont="1" applyFill="1" applyBorder="1" applyAlignment="1">
      <alignment horizontal="left" vertical="center" indent="1"/>
    </xf>
    <xf numFmtId="174" fontId="93" fillId="0" borderId="0" xfId="43" applyNumberFormat="1" applyFont="1" applyBorder="1" applyAlignment="1">
      <alignment horizontal="right" vertical="center"/>
    </xf>
    <xf numFmtId="0" fontId="93" fillId="8" borderId="91" xfId="43" applyFont="1" applyFill="1" applyBorder="1" applyAlignment="1">
      <alignment horizontal="left" vertical="center" indent="1"/>
    </xf>
    <xf numFmtId="165" fontId="93" fillId="3" borderId="279" xfId="46" applyNumberFormat="1" applyFont="1" applyFill="1" applyBorder="1" applyAlignment="1">
      <alignment horizontal="left" vertical="center" indent="1"/>
    </xf>
    <xf numFmtId="0" fontId="93" fillId="8" borderId="269" xfId="43" applyFont="1" applyFill="1" applyBorder="1" applyAlignment="1">
      <alignment horizontal="center" vertical="center"/>
    </xf>
    <xf numFmtId="0" fontId="93" fillId="0" borderId="285" xfId="43" applyFont="1" applyBorder="1" applyAlignment="1">
      <alignment horizontal="left" vertical="center" indent="1"/>
    </xf>
    <xf numFmtId="0" fontId="93" fillId="0" borderId="89" xfId="43" applyFont="1" applyBorder="1" applyAlignment="1">
      <alignment horizontal="left" vertical="center" indent="1"/>
    </xf>
    <xf numFmtId="172" fontId="93" fillId="3" borderId="270" xfId="43" applyNumberFormat="1" applyFont="1" applyFill="1" applyBorder="1" applyAlignment="1">
      <alignment horizontal="left" vertical="center" indent="1"/>
    </xf>
    <xf numFmtId="0" fontId="93" fillId="0" borderId="281" xfId="43" applyFont="1" applyBorder="1" applyAlignment="1">
      <alignment horizontal="center" vertical="center"/>
    </xf>
    <xf numFmtId="0" fontId="93" fillId="0" borderId="286" xfId="43" applyFont="1" applyBorder="1" applyAlignment="1">
      <alignment horizontal="center" vertical="center"/>
    </xf>
    <xf numFmtId="171" fontId="93" fillId="0" borderId="287" xfId="43" applyNumberFormat="1" applyFont="1" applyBorder="1" applyAlignment="1">
      <alignment horizontal="left" vertical="center" indent="1"/>
    </xf>
    <xf numFmtId="0" fontId="93" fillId="8" borderId="271" xfId="43" applyFont="1" applyFill="1" applyBorder="1" applyAlignment="1">
      <alignment horizontal="center" vertical="center"/>
    </xf>
    <xf numFmtId="0" fontId="93" fillId="0" borderId="90" xfId="43" applyFont="1" applyBorder="1" applyAlignment="1">
      <alignment horizontal="left" vertical="center" indent="1"/>
    </xf>
    <xf numFmtId="173" fontId="93" fillId="3" borderId="272" xfId="43" applyNumberFormat="1" applyFont="1" applyFill="1" applyBorder="1" applyAlignment="1">
      <alignment horizontal="left" vertical="center" indent="1"/>
    </xf>
    <xf numFmtId="0" fontId="93" fillId="0" borderId="284" xfId="43" applyFont="1" applyBorder="1" applyAlignment="1">
      <alignment horizontal="center" vertical="center"/>
    </xf>
    <xf numFmtId="0" fontId="93" fillId="0" borderId="92" xfId="43" applyFont="1" applyBorder="1" applyAlignment="1">
      <alignment horizontal="left" vertical="center" indent="1"/>
    </xf>
    <xf numFmtId="0" fontId="93" fillId="8" borderId="281" xfId="43" applyFont="1" applyFill="1" applyBorder="1" applyAlignment="1">
      <alignment horizontal="center" vertical="center"/>
    </xf>
    <xf numFmtId="0" fontId="93" fillId="0" borderId="287" xfId="43" applyFont="1" applyBorder="1" applyAlignment="1">
      <alignment horizontal="left" vertical="center" indent="1"/>
    </xf>
    <xf numFmtId="175" fontId="93" fillId="3" borderId="286" xfId="43" applyNumberFormat="1" applyFont="1" applyFill="1" applyBorder="1" applyAlignment="1">
      <alignment horizontal="left" vertical="center" indent="1"/>
    </xf>
    <xf numFmtId="0" fontId="93" fillId="8" borderId="273" xfId="43" applyFont="1" applyFill="1" applyBorder="1" applyAlignment="1">
      <alignment horizontal="center" vertical="center"/>
    </xf>
    <xf numFmtId="0" fontId="93" fillId="0" borderId="274" xfId="43" applyFont="1" applyBorder="1" applyAlignment="1">
      <alignment horizontal="left" vertical="center" indent="1"/>
    </xf>
    <xf numFmtId="172" fontId="93" fillId="3" borderId="284" xfId="43" applyNumberFormat="1" applyFont="1" applyFill="1" applyBorder="1" applyAlignment="1">
      <alignment horizontal="left" vertical="center" indent="1"/>
    </xf>
    <xf numFmtId="0" fontId="93" fillId="0" borderId="91" xfId="43" applyFont="1" applyBorder="1" applyAlignment="1">
      <alignment horizontal="left" vertical="center" indent="1"/>
    </xf>
    <xf numFmtId="0" fontId="93" fillId="0" borderId="280" xfId="43" applyFont="1" applyBorder="1" applyAlignment="1">
      <alignment horizontal="left" vertical="center" indent="1"/>
    </xf>
    <xf numFmtId="173" fontId="93" fillId="3" borderId="279" xfId="43" applyNumberFormat="1" applyFont="1" applyFill="1" applyBorder="1" applyAlignment="1">
      <alignment horizontal="left" vertical="center" indent="1"/>
    </xf>
    <xf numFmtId="173" fontId="93" fillId="3" borderId="270" xfId="43" applyNumberFormat="1" applyFont="1" applyFill="1" applyBorder="1" applyAlignment="1">
      <alignment horizontal="left" vertical="center" indent="1"/>
    </xf>
    <xf numFmtId="172" fontId="93" fillId="0" borderId="0" xfId="46" applyNumberFormat="1" applyFont="1" applyBorder="1" applyAlignment="1">
      <alignment horizontal="left" vertical="center" indent="1"/>
    </xf>
    <xf numFmtId="173" fontId="93" fillId="3" borderId="286" xfId="43" applyNumberFormat="1" applyFont="1" applyFill="1" applyBorder="1" applyAlignment="1">
      <alignment horizontal="left" vertical="center" indent="1"/>
    </xf>
    <xf numFmtId="172" fontId="93" fillId="0" borderId="0" xfId="43" applyNumberFormat="1" applyFont="1" applyBorder="1" applyAlignment="1">
      <alignment horizontal="left" vertical="center" indent="1"/>
    </xf>
    <xf numFmtId="0" fontId="92" fillId="0" borderId="271" xfId="43" applyFont="1" applyBorder="1" applyAlignment="1">
      <alignment horizontal="center" vertical="center"/>
    </xf>
    <xf numFmtId="172" fontId="92" fillId="22" borderId="284" xfId="46" applyNumberFormat="1" applyFont="1" applyFill="1" applyBorder="1" applyAlignment="1">
      <alignment horizontal="left" vertical="center" indent="1"/>
    </xf>
    <xf numFmtId="0" fontId="93" fillId="0" borderId="0" xfId="43" quotePrefix="1" applyFont="1" applyBorder="1" applyAlignment="1">
      <alignment horizontal="left" vertical="center"/>
    </xf>
    <xf numFmtId="171" fontId="93" fillId="0" borderId="0" xfId="43" applyNumberFormat="1" applyFont="1" applyBorder="1" applyAlignment="1">
      <alignment horizontal="left" vertical="center" indent="1"/>
    </xf>
    <xf numFmtId="172" fontId="92" fillId="22" borderId="272" xfId="43" applyNumberFormat="1" applyFont="1" applyFill="1" applyBorder="1" applyAlignment="1">
      <alignment horizontal="left" vertical="center" indent="1"/>
    </xf>
    <xf numFmtId="0" fontId="93" fillId="0" borderId="0" xfId="43" applyFont="1" applyBorder="1" applyAlignment="1">
      <alignment horizontal="left" vertical="center"/>
    </xf>
    <xf numFmtId="169" fontId="93" fillId="0" borderId="0" xfId="46" applyNumberFormat="1" applyFont="1" applyBorder="1" applyAlignment="1">
      <alignment horizontal="right" vertical="center"/>
    </xf>
    <xf numFmtId="169" fontId="92" fillId="22" borderId="272" xfId="46" applyNumberFormat="1" applyFont="1" applyFill="1" applyBorder="1" applyAlignment="1">
      <alignment horizontal="left" vertical="center" indent="1"/>
    </xf>
    <xf numFmtId="172" fontId="92" fillId="22" borderId="272" xfId="46" applyNumberFormat="1" applyFont="1" applyFill="1" applyBorder="1" applyAlignment="1">
      <alignment horizontal="left" vertical="center" indent="1"/>
    </xf>
    <xf numFmtId="43" fontId="92" fillId="22" borderId="286" xfId="46" applyFont="1" applyFill="1" applyBorder="1" applyAlignment="1">
      <alignment horizontal="left" vertical="center" indent="1"/>
    </xf>
    <xf numFmtId="43" fontId="93" fillId="0" borderId="0" xfId="46" applyFont="1" applyBorder="1" applyAlignment="1">
      <alignment horizontal="left" vertical="center" indent="1"/>
    </xf>
    <xf numFmtId="0" fontId="93" fillId="0" borderId="0" xfId="43" applyFont="1" applyBorder="1" applyAlignment="1">
      <alignment horizontal="right" vertical="center"/>
    </xf>
    <xf numFmtId="0" fontId="97" fillId="0" borderId="0" xfId="47" applyFont="1" applyBorder="1" applyAlignment="1">
      <alignment vertical="center"/>
    </xf>
    <xf numFmtId="0" fontId="97" fillId="0" borderId="0" xfId="47" applyFont="1" applyAlignment="1">
      <alignment vertical="center"/>
    </xf>
    <xf numFmtId="0" fontId="97" fillId="0" borderId="0" xfId="47" applyFont="1" applyAlignment="1">
      <alignment horizontal="left" vertical="center" indent="1"/>
    </xf>
    <xf numFmtId="0" fontId="98" fillId="23" borderId="0" xfId="47" applyFont="1" applyFill="1" applyAlignment="1">
      <alignment vertical="center"/>
    </xf>
    <xf numFmtId="0" fontId="24" fillId="0" borderId="0" xfId="47" applyFont="1" applyAlignment="1">
      <alignment vertical="center"/>
    </xf>
    <xf numFmtId="0" fontId="15" fillId="0" borderId="0" xfId="47" applyFont="1" applyAlignment="1">
      <alignment horizontal="left" vertical="center" indent="1"/>
    </xf>
    <xf numFmtId="0" fontId="99" fillId="0" borderId="0" xfId="47" applyFont="1" applyAlignment="1">
      <alignment horizontal="left" vertical="center" indent="1"/>
    </xf>
    <xf numFmtId="0" fontId="101" fillId="0" borderId="0" xfId="48" applyFont="1" applyBorder="1" applyAlignment="1">
      <alignment horizontal="left" vertical="center" indent="1"/>
    </xf>
    <xf numFmtId="0" fontId="102" fillId="0" borderId="0" xfId="48" applyFont="1" applyBorder="1" applyAlignment="1">
      <alignment vertical="center"/>
    </xf>
    <xf numFmtId="0" fontId="102" fillId="0" borderId="0" xfId="48" applyFont="1" applyAlignment="1">
      <alignment vertical="center"/>
    </xf>
    <xf numFmtId="0" fontId="103" fillId="0" borderId="0" xfId="48" applyFont="1" applyAlignment="1">
      <alignment horizontal="left" vertical="center" indent="1"/>
    </xf>
    <xf numFmtId="0" fontId="103" fillId="0" borderId="0" xfId="48" applyFont="1" applyBorder="1" applyAlignment="1">
      <alignment vertical="center"/>
    </xf>
    <xf numFmtId="0" fontId="103" fillId="0" borderId="0" xfId="48" applyFont="1" applyBorder="1" applyAlignment="1">
      <alignment horizontal="left" vertical="center" indent="1"/>
    </xf>
    <xf numFmtId="0" fontId="24" fillId="0" borderId="0" xfId="47" applyFont="1" applyBorder="1" applyAlignment="1">
      <alignment vertical="center"/>
    </xf>
    <xf numFmtId="3" fontId="13" fillId="0" borderId="0" xfId="47" applyNumberFormat="1" applyFont="1" applyAlignment="1">
      <alignment horizontal="left" vertical="center" indent="1"/>
    </xf>
    <xf numFmtId="0" fontId="24" fillId="0" borderId="5" xfId="47" applyFont="1" applyBorder="1" applyAlignment="1">
      <alignment vertical="center"/>
    </xf>
    <xf numFmtId="0" fontId="16" fillId="0" borderId="75" xfId="47" applyFont="1" applyBorder="1" applyAlignment="1">
      <alignment vertical="center"/>
    </xf>
    <xf numFmtId="0" fontId="24" fillId="0" borderId="75" xfId="47" applyFont="1" applyBorder="1" applyAlignment="1">
      <alignment vertical="center"/>
    </xf>
    <xf numFmtId="0" fontId="12" fillId="0" borderId="5" xfId="47" applyFont="1" applyBorder="1" applyAlignment="1">
      <alignment horizontal="left" vertical="center" indent="1"/>
    </xf>
    <xf numFmtId="0" fontId="16" fillId="0" borderId="75" xfId="47" applyFont="1" applyBorder="1" applyAlignment="1">
      <alignment horizontal="left" vertical="center"/>
    </xf>
    <xf numFmtId="0" fontId="12" fillId="0" borderId="75" xfId="47" applyFont="1" applyBorder="1" applyAlignment="1">
      <alignment horizontal="left" vertical="center" indent="1"/>
    </xf>
    <xf numFmtId="0" fontId="12" fillId="0" borderId="5" xfId="47" applyFont="1" applyBorder="1" applyAlignment="1">
      <alignment horizontal="center" vertical="center"/>
    </xf>
    <xf numFmtId="0" fontId="36" fillId="0" borderId="75" xfId="47" applyFont="1" applyBorder="1" applyAlignment="1">
      <alignment horizontal="left" vertical="center" indent="3"/>
    </xf>
    <xf numFmtId="0" fontId="13" fillId="0" borderId="75" xfId="47" applyFont="1" applyBorder="1" applyAlignment="1">
      <alignment horizontal="left" vertical="center" indent="1"/>
    </xf>
    <xf numFmtId="0" fontId="13" fillId="5" borderId="50" xfId="47" applyFont="1" applyFill="1" applyBorder="1" applyAlignment="1">
      <alignment horizontal="left" vertical="center" indent="1"/>
    </xf>
    <xf numFmtId="0" fontId="24" fillId="0" borderId="50" xfId="47" applyFont="1" applyBorder="1" applyAlignment="1">
      <alignment vertical="center"/>
    </xf>
    <xf numFmtId="0" fontId="24" fillId="0" borderId="0" xfId="47" applyFont="1" applyAlignment="1">
      <alignment horizontal="left" vertical="center" indent="1"/>
    </xf>
    <xf numFmtId="0" fontId="16" fillId="0" borderId="209" xfId="47" applyFont="1" applyBorder="1" applyAlignment="1">
      <alignment horizontal="left" vertical="center" indent="2"/>
    </xf>
    <xf numFmtId="0" fontId="16" fillId="0" borderId="0" xfId="47" applyFont="1" applyBorder="1" applyAlignment="1">
      <alignment horizontal="left" vertical="center" indent="2"/>
    </xf>
    <xf numFmtId="0" fontId="24" fillId="0" borderId="210" xfId="47" applyFont="1" applyBorder="1" applyAlignment="1">
      <alignment vertical="center"/>
    </xf>
    <xf numFmtId="0" fontId="16" fillId="0" borderId="209" xfId="47" applyFont="1" applyBorder="1" applyAlignment="1">
      <alignment horizontal="left" vertical="center" indent="3"/>
    </xf>
    <xf numFmtId="0" fontId="16" fillId="0" borderId="0" xfId="47" applyFont="1" applyBorder="1" applyAlignment="1">
      <alignment horizontal="left" vertical="center" indent="4"/>
    </xf>
    <xf numFmtId="3" fontId="97" fillId="0" borderId="0" xfId="47" applyNumberFormat="1" applyFont="1" applyBorder="1" applyAlignment="1">
      <alignment horizontal="left" vertical="center" indent="2"/>
    </xf>
    <xf numFmtId="0" fontId="97" fillId="3" borderId="19" xfId="47" applyFont="1" applyFill="1" applyBorder="1" applyAlignment="1">
      <alignment horizontal="center" vertical="center"/>
    </xf>
    <xf numFmtId="3" fontId="13" fillId="0" borderId="91" xfId="47" applyNumberFormat="1" applyFont="1" applyBorder="1" applyAlignment="1">
      <alignment horizontal="left" vertical="center" indent="1"/>
    </xf>
    <xf numFmtId="0" fontId="97" fillId="0" borderId="91" xfId="47" applyFont="1" applyBorder="1" applyAlignment="1">
      <alignment vertical="center"/>
    </xf>
    <xf numFmtId="3" fontId="13" fillId="0" borderId="91" xfId="47" applyNumberFormat="1" applyFont="1" applyBorder="1" applyAlignment="1">
      <alignment vertical="center"/>
    </xf>
    <xf numFmtId="0" fontId="97" fillId="0" borderId="91" xfId="47" applyFont="1" applyBorder="1" applyAlignment="1">
      <alignment horizontal="left" vertical="center" indent="1"/>
    </xf>
    <xf numFmtId="0" fontId="18" fillId="3" borderId="19" xfId="47" applyFont="1" applyFill="1" applyBorder="1" applyAlignment="1">
      <alignment horizontal="center" vertical="center"/>
    </xf>
    <xf numFmtId="0" fontId="13" fillId="0" borderId="91" xfId="47" applyFont="1" applyBorder="1" applyAlignment="1">
      <alignment horizontal="left" vertical="center" indent="1"/>
    </xf>
    <xf numFmtId="0" fontId="16" fillId="0" borderId="209" xfId="47" applyFont="1" applyBorder="1" applyAlignment="1">
      <alignment vertical="center"/>
    </xf>
    <xf numFmtId="0" fontId="97" fillId="0" borderId="209" xfId="47" applyFont="1" applyBorder="1" applyAlignment="1">
      <alignment vertical="center"/>
    </xf>
    <xf numFmtId="0" fontId="16" fillId="0" borderId="0" xfId="47" applyFont="1" applyBorder="1" applyAlignment="1">
      <alignment vertical="center"/>
    </xf>
    <xf numFmtId="0" fontId="16" fillId="0" borderId="0" xfId="47" applyFont="1" applyBorder="1" applyAlignment="1">
      <alignment horizontal="left" vertical="center" indent="1"/>
    </xf>
    <xf numFmtId="0" fontId="97" fillId="3" borderId="182" xfId="47" applyFont="1" applyFill="1" applyBorder="1" applyAlignment="1">
      <alignment vertical="center"/>
    </xf>
    <xf numFmtId="0" fontId="97" fillId="3" borderId="291" xfId="47" applyFont="1" applyFill="1" applyBorder="1" applyAlignment="1">
      <alignment vertical="center"/>
    </xf>
    <xf numFmtId="3" fontId="97" fillId="0" borderId="258" xfId="47" applyNumberFormat="1" applyFont="1" applyBorder="1" applyAlignment="1">
      <alignment horizontal="left" vertical="center" indent="2"/>
    </xf>
    <xf numFmtId="0" fontId="97" fillId="0" borderId="24" xfId="47" applyFont="1" applyBorder="1" applyAlignment="1">
      <alignment vertical="center"/>
    </xf>
    <xf numFmtId="3" fontId="97" fillId="0" borderId="0" xfId="47" applyNumberFormat="1" applyFont="1" applyAlignment="1">
      <alignment horizontal="left" vertical="center" indent="1"/>
    </xf>
    <xf numFmtId="3" fontId="97" fillId="3" borderId="19" xfId="47" applyNumberFormat="1" applyFont="1" applyFill="1" applyBorder="1" applyAlignment="1">
      <alignment horizontal="center" vertical="center"/>
    </xf>
    <xf numFmtId="3" fontId="13" fillId="0" borderId="0" xfId="47" applyNumberFormat="1" applyFont="1" applyBorder="1" applyAlignment="1">
      <alignment horizontal="left" vertical="center" indent="1"/>
    </xf>
    <xf numFmtId="3" fontId="13" fillId="0" borderId="0" xfId="47" applyNumberFormat="1" applyFont="1" applyBorder="1" applyAlignment="1">
      <alignment vertical="center"/>
    </xf>
    <xf numFmtId="0" fontId="97" fillId="0" borderId="0" xfId="47" applyFont="1" applyBorder="1" applyAlignment="1">
      <alignment horizontal="left" vertical="center" indent="1"/>
    </xf>
    <xf numFmtId="0" fontId="13" fillId="0" borderId="0" xfId="47" applyFont="1" applyBorder="1" applyAlignment="1">
      <alignment horizontal="left" vertical="center" indent="1"/>
    </xf>
    <xf numFmtId="0" fontId="97" fillId="0" borderId="293" xfId="47" applyFont="1" applyBorder="1" applyAlignment="1">
      <alignment horizontal="left" vertical="center" indent="1"/>
    </xf>
    <xf numFmtId="0" fontId="97" fillId="5" borderId="0" xfId="47" applyFont="1" applyFill="1" applyBorder="1" applyAlignment="1">
      <alignment horizontal="center" vertical="center"/>
    </xf>
    <xf numFmtId="0" fontId="22" fillId="0" borderId="209" xfId="47" applyFont="1" applyBorder="1" applyAlignment="1">
      <alignment horizontal="left" vertical="center" indent="1"/>
    </xf>
    <xf numFmtId="0" fontId="97" fillId="0" borderId="27" xfId="47" applyFont="1" applyBorder="1" applyAlignment="1">
      <alignment horizontal="left" vertical="center" indent="1"/>
    </xf>
    <xf numFmtId="0" fontId="97" fillId="0" borderId="210" xfId="47" applyFont="1" applyBorder="1" applyAlignment="1">
      <alignment vertical="center"/>
    </xf>
    <xf numFmtId="0" fontId="105" fillId="11" borderId="263" xfId="47" applyFont="1" applyFill="1" applyBorder="1" applyAlignment="1">
      <alignment vertical="center"/>
    </xf>
    <xf numFmtId="0" fontId="107" fillId="11" borderId="0" xfId="47" applyFont="1" applyFill="1" applyAlignment="1">
      <alignment vertical="center"/>
    </xf>
    <xf numFmtId="0" fontId="97" fillId="11" borderId="0" xfId="47" applyFont="1" applyFill="1" applyBorder="1" applyAlignment="1">
      <alignment vertical="center"/>
    </xf>
    <xf numFmtId="0" fontId="97" fillId="11" borderId="25" xfId="47" applyFont="1" applyFill="1" applyBorder="1" applyAlignment="1">
      <alignment vertical="center"/>
    </xf>
    <xf numFmtId="3" fontId="97" fillId="11" borderId="0" xfId="47" applyNumberFormat="1" applyFont="1" applyFill="1" applyBorder="1" applyAlignment="1">
      <alignment vertical="center"/>
    </xf>
    <xf numFmtId="0" fontId="97" fillId="0" borderId="263" xfId="47" applyFont="1" applyBorder="1" applyAlignment="1">
      <alignment horizontal="left" vertical="center" indent="1"/>
    </xf>
    <xf numFmtId="3" fontId="97" fillId="3" borderId="21" xfId="47" applyNumberFormat="1" applyFont="1" applyFill="1" applyBorder="1" applyAlignment="1">
      <alignment horizontal="center" vertical="center"/>
    </xf>
    <xf numFmtId="3" fontId="13" fillId="0" borderId="297" xfId="47" applyNumberFormat="1" applyFont="1" applyBorder="1" applyAlignment="1">
      <alignment horizontal="left" vertical="center" indent="1"/>
    </xf>
    <xf numFmtId="0" fontId="97" fillId="0" borderId="297" xfId="47" applyFont="1" applyBorder="1" applyAlignment="1">
      <alignment vertical="center"/>
    </xf>
    <xf numFmtId="0" fontId="97" fillId="3" borderId="21" xfId="47" applyFont="1" applyFill="1" applyBorder="1" applyAlignment="1">
      <alignment horizontal="center" vertical="center"/>
    </xf>
    <xf numFmtId="3" fontId="13" fillId="0" borderId="297" xfId="47" applyNumberFormat="1" applyFont="1" applyBorder="1" applyAlignment="1">
      <alignment vertical="center"/>
    </xf>
    <xf numFmtId="0" fontId="97" fillId="0" borderId="297" xfId="47" applyFont="1" applyBorder="1" applyAlignment="1">
      <alignment horizontal="left" vertical="center" indent="1"/>
    </xf>
    <xf numFmtId="0" fontId="97" fillId="0" borderId="209" xfId="47" applyFont="1" applyBorder="1" applyAlignment="1">
      <alignment horizontal="left" vertical="center" indent="1"/>
    </xf>
    <xf numFmtId="0" fontId="97" fillId="24" borderId="8" xfId="47" applyFont="1" applyFill="1" applyBorder="1" applyAlignment="1">
      <alignment horizontal="left" vertical="center" indent="1"/>
    </xf>
    <xf numFmtId="0" fontId="97" fillId="24" borderId="0" xfId="47" applyFont="1" applyFill="1" applyBorder="1" applyAlignment="1">
      <alignment horizontal="left" vertical="center" indent="1"/>
    </xf>
    <xf numFmtId="0" fontId="97" fillId="0" borderId="210" xfId="47" applyFont="1" applyBorder="1" applyAlignment="1">
      <alignment horizontal="left" vertical="center" indent="1"/>
    </xf>
    <xf numFmtId="0" fontId="97" fillId="0" borderId="0" xfId="47" applyFont="1" applyBorder="1" applyAlignment="1">
      <alignment horizontal="left" vertical="center" indent="2"/>
    </xf>
    <xf numFmtId="0" fontId="97" fillId="5" borderId="36" xfId="47" applyFont="1" applyFill="1" applyBorder="1" applyAlignment="1">
      <alignment vertical="center"/>
    </xf>
    <xf numFmtId="0" fontId="105" fillId="11" borderId="263" xfId="47" applyFont="1" applyFill="1" applyBorder="1" applyAlignment="1">
      <alignment horizontal="left" vertical="center" indent="1"/>
    </xf>
    <xf numFmtId="0" fontId="107" fillId="11" borderId="0" xfId="47" applyFont="1" applyFill="1" applyAlignment="1">
      <alignment horizontal="left" vertical="center" indent="1"/>
    </xf>
    <xf numFmtId="0" fontId="97" fillId="11" borderId="0" xfId="47" applyFont="1" applyFill="1" applyAlignment="1">
      <alignment vertical="center"/>
    </xf>
    <xf numFmtId="0" fontId="97" fillId="11" borderId="264" xfId="47" applyFont="1" applyFill="1" applyBorder="1" applyAlignment="1">
      <alignment vertical="center"/>
    </xf>
    <xf numFmtId="0" fontId="97" fillId="5" borderId="258" xfId="47" applyFont="1" applyFill="1" applyBorder="1" applyAlignment="1">
      <alignment vertical="center"/>
    </xf>
    <xf numFmtId="3" fontId="97" fillId="0" borderId="266" xfId="47" applyNumberFormat="1" applyFont="1" applyBorder="1" applyAlignment="1">
      <alignment horizontal="left" vertical="center" indent="1"/>
    </xf>
    <xf numFmtId="0" fontId="97" fillId="0" borderId="41" xfId="47" applyFont="1" applyBorder="1" applyAlignment="1">
      <alignment vertical="center"/>
    </xf>
    <xf numFmtId="0" fontId="97" fillId="0" borderId="41" xfId="47" applyFont="1" applyBorder="1" applyAlignment="1">
      <alignment horizontal="left" vertical="center" indent="1"/>
    </xf>
    <xf numFmtId="0" fontId="28" fillId="0" borderId="10" xfId="47" applyFont="1" applyBorder="1" applyAlignment="1">
      <alignment horizontal="left" vertical="center" indent="1"/>
    </xf>
    <xf numFmtId="0" fontId="18" fillId="3" borderId="21" xfId="47" applyFont="1" applyFill="1" applyBorder="1" applyAlignment="1">
      <alignment horizontal="center" vertical="center"/>
    </xf>
    <xf numFmtId="0" fontId="13" fillId="0" borderId="297" xfId="47" applyFont="1" applyBorder="1" applyAlignment="1">
      <alignment horizontal="left" vertical="center" indent="1"/>
    </xf>
    <xf numFmtId="3" fontId="97" fillId="0" borderId="0" xfId="47" applyNumberFormat="1" applyFont="1" applyAlignment="1">
      <alignment vertical="center"/>
    </xf>
    <xf numFmtId="0" fontId="97" fillId="24" borderId="8" xfId="47" applyFont="1" applyFill="1" applyBorder="1" applyAlignment="1">
      <alignment vertical="center"/>
    </xf>
    <xf numFmtId="0" fontId="97" fillId="24" borderId="0" xfId="47" applyFont="1" applyFill="1" applyBorder="1" applyAlignment="1">
      <alignment vertical="center"/>
    </xf>
    <xf numFmtId="0" fontId="97" fillId="0" borderId="304" xfId="47" applyFont="1" applyBorder="1" applyAlignment="1">
      <alignment vertical="center"/>
    </xf>
    <xf numFmtId="0" fontId="105" fillId="11" borderId="258" xfId="47" applyFont="1" applyFill="1" applyBorder="1" applyAlignment="1">
      <alignment horizontal="left" vertical="center" indent="1"/>
    </xf>
    <xf numFmtId="0" fontId="107" fillId="11" borderId="24" xfId="47" applyFont="1" applyFill="1" applyBorder="1" applyAlignment="1">
      <alignment horizontal="left" vertical="center" indent="2"/>
    </xf>
    <xf numFmtId="0" fontId="97" fillId="11" borderId="24" xfId="47" applyFont="1" applyFill="1" applyBorder="1" applyAlignment="1">
      <alignment horizontal="left" vertical="center" indent="1"/>
    </xf>
    <xf numFmtId="0" fontId="97" fillId="11" borderId="24" xfId="47" applyFont="1" applyFill="1" applyBorder="1" applyAlignment="1">
      <alignment vertical="center"/>
    </xf>
    <xf numFmtId="0" fontId="97" fillId="11" borderId="258" xfId="47" applyFont="1" applyFill="1" applyBorder="1" applyAlignment="1">
      <alignment vertical="center"/>
    </xf>
    <xf numFmtId="0" fontId="97" fillId="0" borderId="296" xfId="47" applyFont="1" applyBorder="1" applyAlignment="1">
      <alignment vertical="center"/>
    </xf>
    <xf numFmtId="0" fontId="108" fillId="11" borderId="24" xfId="47" applyFont="1" applyFill="1" applyBorder="1" applyAlignment="1">
      <alignment vertical="center"/>
    </xf>
    <xf numFmtId="0" fontId="109" fillId="11" borderId="0" xfId="47" applyFont="1" applyFill="1" applyAlignment="1">
      <alignment vertical="center"/>
    </xf>
    <xf numFmtId="0" fontId="97" fillId="11" borderId="0" xfId="47" applyFont="1" applyFill="1" applyAlignment="1">
      <alignment horizontal="left" vertical="center" indent="1"/>
    </xf>
    <xf numFmtId="0" fontId="30" fillId="0" borderId="0" xfId="47" applyFont="1" applyBorder="1" applyAlignment="1">
      <alignment horizontal="center" vertical="center"/>
    </xf>
    <xf numFmtId="0" fontId="105" fillId="11" borderId="0" xfId="47" applyFont="1" applyFill="1" applyAlignment="1">
      <alignment vertical="center"/>
    </xf>
    <xf numFmtId="0" fontId="110" fillId="11" borderId="0" xfId="47" applyFont="1" applyFill="1" applyAlignment="1">
      <alignment vertical="center"/>
    </xf>
    <xf numFmtId="0" fontId="111" fillId="11" borderId="0" xfId="47" applyFont="1" applyFill="1" applyAlignment="1">
      <alignment vertical="center"/>
    </xf>
    <xf numFmtId="0" fontId="36" fillId="11" borderId="307" xfId="47" applyFont="1" applyFill="1" applyBorder="1" applyAlignment="1">
      <alignment horizontal="left" vertical="center" indent="1"/>
    </xf>
    <xf numFmtId="0" fontId="111" fillId="11" borderId="307" xfId="47" applyFont="1" applyFill="1" applyBorder="1" applyAlignment="1">
      <alignment vertical="center"/>
    </xf>
    <xf numFmtId="0" fontId="105" fillId="11" borderId="0" xfId="47" applyFont="1" applyFill="1" applyAlignment="1">
      <alignment horizontal="left" vertical="center" indent="1"/>
    </xf>
    <xf numFmtId="0" fontId="112" fillId="11" borderId="0" xfId="47" applyFont="1" applyFill="1" applyAlignment="1">
      <alignment vertical="center"/>
    </xf>
    <xf numFmtId="0" fontId="113" fillId="11" borderId="0" xfId="47" applyFont="1" applyFill="1" applyAlignment="1">
      <alignment vertical="center"/>
    </xf>
    <xf numFmtId="0" fontId="105" fillId="11" borderId="308" xfId="47" applyFont="1" applyFill="1" applyBorder="1" applyAlignment="1">
      <alignment horizontal="left" vertical="center" indent="1"/>
    </xf>
    <xf numFmtId="0" fontId="97" fillId="11" borderId="62" xfId="47" applyFont="1" applyFill="1" applyBorder="1" applyAlignment="1">
      <alignment vertical="center"/>
    </xf>
    <xf numFmtId="0" fontId="97" fillId="0" borderId="31" xfId="47" applyFont="1" applyBorder="1" applyAlignment="1">
      <alignment horizontal="left" vertical="center" indent="2"/>
    </xf>
    <xf numFmtId="0" fontId="97" fillId="0" borderId="31" xfId="47" applyFont="1" applyBorder="1" applyAlignment="1">
      <alignment horizontal="left" vertical="center" indent="1"/>
    </xf>
    <xf numFmtId="0" fontId="97" fillId="26" borderId="309" xfId="47" applyFont="1" applyFill="1" applyBorder="1" applyAlignment="1">
      <alignment horizontal="left" vertical="center" indent="1"/>
    </xf>
    <xf numFmtId="0" fontId="97" fillId="25" borderId="310" xfId="47" applyFont="1" applyFill="1" applyBorder="1" applyAlignment="1">
      <alignment horizontal="left" vertical="center" indent="1"/>
    </xf>
    <xf numFmtId="0" fontId="22" fillId="25" borderId="311" xfId="47" applyFont="1" applyFill="1" applyBorder="1" applyAlignment="1">
      <alignment horizontal="left" vertical="center" indent="1"/>
    </xf>
    <xf numFmtId="0" fontId="22" fillId="25" borderId="312" xfId="47" applyFont="1" applyFill="1" applyBorder="1" applyAlignment="1">
      <alignment horizontal="left" vertical="center" indent="1"/>
    </xf>
    <xf numFmtId="0" fontId="22" fillId="0" borderId="207" xfId="47" applyFont="1" applyBorder="1" applyAlignment="1">
      <alignment vertical="center"/>
    </xf>
    <xf numFmtId="0" fontId="97" fillId="0" borderId="154" xfId="47" applyFont="1" applyBorder="1" applyAlignment="1">
      <alignment horizontal="left" vertical="center" indent="1"/>
    </xf>
    <xf numFmtId="0" fontId="97" fillId="0" borderId="208" xfId="47" applyFont="1" applyBorder="1" applyAlignment="1">
      <alignment horizontal="left" vertical="center" indent="1"/>
    </xf>
    <xf numFmtId="0" fontId="97" fillId="24" borderId="313" xfId="47" applyFont="1" applyFill="1" applyBorder="1" applyAlignment="1">
      <alignment vertical="center"/>
    </xf>
    <xf numFmtId="0" fontId="97" fillId="0" borderId="24" xfId="47" applyFont="1" applyBorder="1" applyAlignment="1">
      <alignment horizontal="left" vertical="center" indent="1"/>
    </xf>
    <xf numFmtId="0" fontId="97" fillId="5" borderId="314" xfId="47" applyFont="1" applyFill="1" applyBorder="1" applyAlignment="1">
      <alignment vertical="center"/>
    </xf>
    <xf numFmtId="0" fontId="104" fillId="0" borderId="316" xfId="48" applyFont="1" applyBorder="1" applyAlignment="1">
      <alignment horizontal="left" textRotation="90" wrapText="1"/>
    </xf>
    <xf numFmtId="0" fontId="104" fillId="0" borderId="302" xfId="48" applyFont="1" applyBorder="1" applyAlignment="1">
      <alignment horizontal="left" textRotation="90" wrapText="1"/>
    </xf>
    <xf numFmtId="0" fontId="104" fillId="0" borderId="317" xfId="48" applyFont="1" applyBorder="1" applyAlignment="1">
      <alignment horizontal="left" textRotation="90" wrapText="1"/>
    </xf>
    <xf numFmtId="0" fontId="29" fillId="27" borderId="195" xfId="47" applyFont="1" applyFill="1" applyBorder="1" applyAlignment="1">
      <alignment horizontal="left" vertical="center"/>
    </xf>
    <xf numFmtId="0" fontId="29" fillId="27" borderId="196" xfId="47" applyFont="1" applyFill="1" applyBorder="1" applyAlignment="1">
      <alignment horizontal="left" vertical="center"/>
    </xf>
    <xf numFmtId="0" fontId="114" fillId="27" borderId="196" xfId="47" applyFont="1" applyFill="1" applyBorder="1" applyAlignment="1">
      <alignment horizontal="left" vertical="center"/>
    </xf>
    <xf numFmtId="0" fontId="97" fillId="3" borderId="0" xfId="47" applyFont="1" applyFill="1" applyAlignment="1">
      <alignment vertical="center"/>
    </xf>
    <xf numFmtId="0" fontId="97" fillId="3" borderId="195" xfId="47" applyFont="1" applyFill="1" applyBorder="1" applyAlignment="1">
      <alignment vertical="center"/>
    </xf>
    <xf numFmtId="0" fontId="27" fillId="27" borderId="197" xfId="47" applyFont="1" applyFill="1" applyBorder="1" applyAlignment="1">
      <alignment horizontal="center" vertical="center"/>
    </xf>
    <xf numFmtId="0" fontId="16" fillId="0" borderId="318" xfId="47" applyFont="1" applyBorder="1" applyAlignment="1">
      <alignment horizontal="left" vertical="center" indent="1"/>
    </xf>
    <xf numFmtId="0" fontId="97" fillId="0" borderId="319" xfId="47" applyFont="1" applyBorder="1" applyAlignment="1">
      <alignment horizontal="left" vertical="center" indent="1"/>
    </xf>
    <xf numFmtId="0" fontId="97" fillId="0" borderId="75" xfId="47" applyFont="1" applyBorder="1" applyAlignment="1">
      <alignment vertical="center"/>
    </xf>
    <xf numFmtId="0" fontId="97" fillId="0" borderId="75" xfId="47" applyFont="1" applyBorder="1" applyAlignment="1">
      <alignment horizontal="left" vertical="center" indent="1"/>
    </xf>
    <xf numFmtId="0" fontId="97" fillId="28" borderId="320" xfId="47" applyFont="1" applyFill="1" applyBorder="1" applyAlignment="1">
      <alignment horizontal="left" vertical="center" indent="1"/>
    </xf>
    <xf numFmtId="0" fontId="97" fillId="25" borderId="62" xfId="47" applyFont="1" applyFill="1" applyBorder="1" applyAlignment="1">
      <alignment horizontal="left" vertical="center" indent="1"/>
    </xf>
    <xf numFmtId="0" fontId="97" fillId="25" borderId="1" xfId="47" applyFont="1" applyFill="1" applyBorder="1" applyAlignment="1">
      <alignment horizontal="left" vertical="center" indent="1"/>
    </xf>
    <xf numFmtId="0" fontId="97" fillId="25" borderId="321" xfId="47" applyFont="1" applyFill="1" applyBorder="1" applyAlignment="1">
      <alignment horizontal="left" vertical="center" indent="1"/>
    </xf>
    <xf numFmtId="0" fontId="32" fillId="29" borderId="322" xfId="47" applyFont="1" applyFill="1" applyBorder="1" applyAlignment="1">
      <alignment horizontal="center" vertical="center"/>
    </xf>
    <xf numFmtId="0" fontId="97" fillId="0" borderId="0" xfId="47" applyFont="1" applyBorder="1" applyAlignment="1">
      <alignment horizontal="left" vertical="center"/>
    </xf>
    <xf numFmtId="0" fontId="97" fillId="0" borderId="210" xfId="47" applyFont="1" applyBorder="1" applyAlignment="1">
      <alignment horizontal="left" vertical="center"/>
    </xf>
    <xf numFmtId="0" fontId="97" fillId="0" borderId="207" xfId="47" applyFont="1" applyBorder="1" applyAlignment="1">
      <alignment vertical="center"/>
    </xf>
    <xf numFmtId="0" fontId="97" fillId="24" borderId="154" xfId="47" applyFont="1" applyFill="1" applyBorder="1" applyAlignment="1">
      <alignment vertical="center"/>
    </xf>
    <xf numFmtId="0" fontId="97" fillId="24" borderId="323" xfId="47" applyFont="1" applyFill="1" applyBorder="1" applyAlignment="1">
      <alignment vertical="center"/>
    </xf>
    <xf numFmtId="0" fontId="97" fillId="24" borderId="324" xfId="47" applyFont="1" applyFill="1" applyBorder="1" applyAlignment="1">
      <alignment vertical="center"/>
    </xf>
    <xf numFmtId="0" fontId="97" fillId="0" borderId="325" xfId="47" applyFont="1" applyBorder="1" applyAlignment="1">
      <alignment vertical="center"/>
    </xf>
    <xf numFmtId="0" fontId="97" fillId="0" borderId="326" xfId="47" applyFont="1" applyBorder="1" applyAlignment="1">
      <alignment vertical="center"/>
    </xf>
    <xf numFmtId="0" fontId="97" fillId="0" borderId="327" xfId="47" applyFont="1" applyBorder="1" applyAlignment="1">
      <alignment vertical="center"/>
    </xf>
    <xf numFmtId="0" fontId="97" fillId="24" borderId="328" xfId="47" applyFont="1" applyFill="1" applyBorder="1" applyAlignment="1">
      <alignment vertical="center"/>
    </xf>
    <xf numFmtId="0" fontId="97" fillId="5" borderId="324" xfId="47" applyFont="1" applyFill="1" applyBorder="1" applyAlignment="1">
      <alignment vertical="center"/>
    </xf>
    <xf numFmtId="0" fontId="97" fillId="0" borderId="208" xfId="47" applyFont="1" applyBorder="1" applyAlignment="1">
      <alignment vertical="center"/>
    </xf>
    <xf numFmtId="0" fontId="64" fillId="0" borderId="34" xfId="48" applyFont="1" applyBorder="1" applyAlignment="1">
      <alignment vertical="center" wrapText="1"/>
    </xf>
    <xf numFmtId="0" fontId="64" fillId="0" borderId="0" xfId="48" applyFont="1" applyBorder="1" applyAlignment="1">
      <alignment vertical="center" wrapText="1"/>
    </xf>
    <xf numFmtId="0" fontId="64" fillId="0" borderId="61" xfId="48" applyFont="1" applyBorder="1" applyAlignment="1">
      <alignment horizontal="left" vertical="center" indent="1"/>
    </xf>
    <xf numFmtId="0" fontId="64" fillId="0" borderId="329" xfId="48" applyFont="1" applyBorder="1" applyAlignment="1">
      <alignment horizontal="center" vertical="center" wrapText="1"/>
    </xf>
    <xf numFmtId="0" fontId="64" fillId="0" borderId="29" xfId="48" applyFont="1" applyBorder="1" applyAlignment="1">
      <alignment horizontal="center" vertical="center" wrapText="1"/>
    </xf>
    <xf numFmtId="0" fontId="64" fillId="0" borderId="330" xfId="48" applyFont="1" applyBorder="1" applyAlignment="1">
      <alignment horizontal="center" vertical="center" wrapText="1"/>
    </xf>
    <xf numFmtId="0" fontId="64" fillId="0" borderId="53" xfId="48" applyFont="1" applyBorder="1" applyAlignment="1">
      <alignment horizontal="center" vertical="center"/>
    </xf>
    <xf numFmtId="0" fontId="64" fillId="0" borderId="61" xfId="48" applyFont="1" applyBorder="1" applyAlignment="1">
      <alignment horizontal="center" vertical="center" wrapText="1"/>
    </xf>
    <xf numFmtId="0" fontId="64" fillId="0" borderId="35" xfId="48" applyFont="1" applyBorder="1" applyAlignment="1">
      <alignment horizontal="center" vertical="center" wrapText="1"/>
    </xf>
    <xf numFmtId="0" fontId="64" fillId="0" borderId="274" xfId="48" applyFont="1" applyBorder="1" applyAlignment="1">
      <alignment horizontal="center" vertical="center" wrapText="1"/>
    </xf>
    <xf numFmtId="0" fontId="64" fillId="0" borderId="53" xfId="48" applyFont="1" applyBorder="1" applyAlignment="1">
      <alignment horizontal="left" vertical="center" indent="2"/>
    </xf>
    <xf numFmtId="0" fontId="64" fillId="0" borderId="274" xfId="48" applyFont="1" applyBorder="1" applyAlignment="1">
      <alignment horizontal="left" vertical="center" indent="1"/>
    </xf>
    <xf numFmtId="0" fontId="64" fillId="0" borderId="42" xfId="48" applyFont="1" applyBorder="1" applyAlignment="1">
      <alignment horizontal="center" vertical="center" wrapText="1"/>
    </xf>
    <xf numFmtId="0" fontId="97" fillId="3" borderId="177" xfId="47" applyFont="1" applyFill="1" applyBorder="1" applyAlignment="1">
      <alignment vertical="center"/>
    </xf>
    <xf numFmtId="0" fontId="29" fillId="27" borderId="15" xfId="47" applyFont="1" applyFill="1" applyBorder="1" applyAlignment="1">
      <alignment horizontal="center" vertical="center"/>
    </xf>
    <xf numFmtId="0" fontId="30" fillId="3" borderId="15" xfId="47" applyFont="1" applyFill="1" applyBorder="1" applyAlignment="1">
      <alignment vertical="center"/>
    </xf>
    <xf numFmtId="0" fontId="32" fillId="30" borderId="181" xfId="47" applyFont="1" applyFill="1" applyBorder="1" applyAlignment="1">
      <alignment horizontal="center" vertical="center"/>
    </xf>
    <xf numFmtId="0" fontId="27" fillId="3" borderId="38" xfId="47" applyFont="1" applyFill="1" applyBorder="1" applyAlignment="1">
      <alignment horizontal="center" vertical="center"/>
    </xf>
    <xf numFmtId="0" fontId="30" fillId="3" borderId="181" xfId="47" applyFont="1" applyFill="1" applyBorder="1" applyAlignment="1">
      <alignment vertical="center"/>
    </xf>
    <xf numFmtId="0" fontId="30" fillId="3" borderId="38" xfId="47" applyFont="1" applyFill="1" applyBorder="1" applyAlignment="1">
      <alignment vertical="center"/>
    </xf>
    <xf numFmtId="0" fontId="27" fillId="3" borderId="181" xfId="47" applyFont="1" applyFill="1" applyBorder="1" applyAlignment="1">
      <alignment horizontal="center" vertical="center"/>
    </xf>
    <xf numFmtId="0" fontId="32" fillId="30" borderId="38" xfId="47" applyFont="1" applyFill="1" applyBorder="1" applyAlignment="1">
      <alignment horizontal="center" vertical="center"/>
    </xf>
    <xf numFmtId="0" fontId="29" fillId="3" borderId="15" xfId="47" applyFont="1" applyFill="1" applyBorder="1" applyAlignment="1">
      <alignment horizontal="center" vertical="center"/>
    </xf>
    <xf numFmtId="0" fontId="97" fillId="3" borderId="181" xfId="47" applyFont="1" applyFill="1" applyBorder="1" applyAlignment="1">
      <alignment vertical="center"/>
    </xf>
    <xf numFmtId="0" fontId="97" fillId="3" borderId="2" xfId="47" applyFont="1" applyFill="1" applyBorder="1" applyAlignment="1">
      <alignment horizontal="center" vertical="center"/>
    </xf>
    <xf numFmtId="0" fontId="97" fillId="0" borderId="5" xfId="47" applyFont="1" applyBorder="1" applyAlignment="1">
      <alignment horizontal="left" vertical="center" indent="1"/>
    </xf>
    <xf numFmtId="0" fontId="97" fillId="31" borderId="320" xfId="47" applyFont="1" applyFill="1" applyBorder="1" applyAlignment="1">
      <alignment vertical="center"/>
    </xf>
    <xf numFmtId="0" fontId="97" fillId="25" borderId="1" xfId="47" applyFont="1" applyFill="1" applyBorder="1" applyAlignment="1">
      <alignment vertical="center"/>
    </xf>
    <xf numFmtId="0" fontId="97" fillId="25" borderId="321" xfId="47" applyFont="1" applyFill="1" applyBorder="1" applyAlignment="1">
      <alignment vertical="center"/>
    </xf>
    <xf numFmtId="0" fontId="97" fillId="0" borderId="216" xfId="47" applyFont="1" applyBorder="1" applyAlignment="1">
      <alignment vertical="center"/>
    </xf>
    <xf numFmtId="0" fontId="97" fillId="24" borderId="307" xfId="47" applyFont="1" applyFill="1" applyBorder="1" applyAlignment="1">
      <alignment vertical="center"/>
    </xf>
    <xf numFmtId="0" fontId="97" fillId="24" borderId="314" xfId="47" applyFont="1" applyFill="1" applyBorder="1" applyAlignment="1">
      <alignment vertical="center"/>
    </xf>
    <xf numFmtId="0" fontId="97" fillId="0" borderId="331" xfId="47" applyFont="1" applyBorder="1" applyAlignment="1">
      <alignment vertical="center"/>
    </xf>
    <xf numFmtId="0" fontId="97" fillId="0" borderId="332" xfId="47" applyFont="1" applyBorder="1" applyAlignment="1">
      <alignment vertical="center"/>
    </xf>
    <xf numFmtId="0" fontId="97" fillId="0" borderId="333" xfId="47" applyFont="1" applyBorder="1" applyAlignment="1">
      <alignment vertical="center"/>
    </xf>
    <xf numFmtId="0" fontId="97" fillId="24" borderId="315" xfId="47" applyFont="1" applyFill="1" applyBorder="1" applyAlignment="1">
      <alignment vertical="center"/>
    </xf>
    <xf numFmtId="0" fontId="97" fillId="0" borderId="218" xfId="47" applyFont="1" applyBorder="1" applyAlignment="1">
      <alignment vertical="center"/>
    </xf>
    <xf numFmtId="0" fontId="64" fillId="0" borderId="19" xfId="48" applyFont="1" applyBorder="1" applyAlignment="1">
      <alignment horizontal="left" vertical="center" indent="8"/>
    </xf>
    <xf numFmtId="0" fontId="63" fillId="0" borderId="15" xfId="48" applyFont="1" applyBorder="1" applyAlignment="1">
      <alignment horizontal="center" vertical="center" textRotation="90" wrapText="1"/>
    </xf>
    <xf numFmtId="0" fontId="64" fillId="0" borderId="16" xfId="48" applyFont="1" applyBorder="1" applyAlignment="1">
      <alignment horizontal="center" vertical="center" textRotation="90" wrapText="1"/>
    </xf>
    <xf numFmtId="0" fontId="64" fillId="0" borderId="1" xfId="48" applyFont="1" applyBorder="1" applyAlignment="1">
      <alignment horizontal="center" vertical="center" wrapText="1"/>
    </xf>
    <xf numFmtId="0" fontId="64" fillId="0" borderId="38" xfId="48" applyFont="1" applyBorder="1" applyAlignment="1">
      <alignment horizontal="center" vertical="center" wrapText="1"/>
    </xf>
    <xf numFmtId="0" fontId="64" fillId="0" borderId="51" xfId="48" applyFont="1" applyBorder="1" applyAlignment="1">
      <alignment horizontal="center" vertical="center" wrapText="1"/>
    </xf>
    <xf numFmtId="0" fontId="64" fillId="0" borderId="280" xfId="48" applyFont="1" applyBorder="1" applyAlignment="1">
      <alignment horizontal="center" vertical="center" wrapText="1"/>
    </xf>
    <xf numFmtId="0" fontId="64" fillId="0" borderId="16" xfId="48" applyFont="1" applyBorder="1" applyAlignment="1">
      <alignment horizontal="center" vertical="center" wrapText="1"/>
    </xf>
    <xf numFmtId="0" fontId="64" fillId="0" borderId="276" xfId="48" applyFont="1" applyBorder="1" applyAlignment="1">
      <alignment horizontal="center" vertical="center" wrapText="1"/>
    </xf>
    <xf numFmtId="0" fontId="64" fillId="0" borderId="26" xfId="48" applyFont="1" applyBorder="1" applyAlignment="1">
      <alignment horizontal="center" vertical="center" wrapText="1"/>
    </xf>
    <xf numFmtId="0" fontId="29" fillId="27" borderId="177" xfId="47" applyFont="1" applyFill="1" applyBorder="1" applyAlignment="1">
      <alignment horizontal="left" vertical="center"/>
    </xf>
    <xf numFmtId="0" fontId="30" fillId="27" borderId="15" xfId="47" applyFont="1" applyFill="1" applyBorder="1" applyAlignment="1">
      <alignment horizontal="left" vertical="center"/>
    </xf>
    <xf numFmtId="0" fontId="115" fillId="27" borderId="15" xfId="47" applyFont="1" applyFill="1" applyBorder="1" applyAlignment="1">
      <alignment horizontal="left" vertical="center"/>
    </xf>
    <xf numFmtId="0" fontId="32" fillId="32" borderId="334" xfId="47" applyFont="1" applyFill="1" applyBorder="1" applyAlignment="1">
      <alignment horizontal="center" vertical="center"/>
    </xf>
    <xf numFmtId="0" fontId="116" fillId="27" borderId="58" xfId="47" applyFont="1" applyFill="1" applyBorder="1" applyAlignment="1">
      <alignment horizontal="center" vertical="top"/>
    </xf>
    <xf numFmtId="0" fontId="115" fillId="27" borderId="181" xfId="47" applyFont="1" applyFill="1" applyBorder="1" applyAlignment="1">
      <alignment horizontal="center" vertical="center"/>
    </xf>
    <xf numFmtId="0" fontId="116" fillId="27" borderId="215" xfId="47" applyFont="1" applyFill="1" applyBorder="1" applyAlignment="1">
      <alignment horizontal="center" vertical="top"/>
    </xf>
    <xf numFmtId="0" fontId="32" fillId="32" borderId="249" xfId="47" applyFont="1" applyFill="1" applyBorder="1" applyAlignment="1">
      <alignment horizontal="center" vertical="center"/>
    </xf>
    <xf numFmtId="0" fontId="30" fillId="27" borderId="51" xfId="47" applyFont="1" applyFill="1" applyBorder="1" applyAlignment="1">
      <alignment horizontal="left" vertical="center"/>
    </xf>
    <xf numFmtId="0" fontId="30" fillId="27" borderId="15" xfId="47" applyFont="1" applyFill="1" applyBorder="1" applyAlignment="1">
      <alignment horizontal="center" vertical="center"/>
    </xf>
    <xf numFmtId="0" fontId="29" fillId="27" borderId="181" xfId="47" applyFont="1" applyFill="1" applyBorder="1" applyAlignment="1">
      <alignment horizontal="left" vertical="center"/>
    </xf>
    <xf numFmtId="0" fontId="97" fillId="0" borderId="8" xfId="47" applyFont="1" applyBorder="1" applyAlignment="1">
      <alignment horizontal="left" vertical="center" indent="1"/>
    </xf>
    <xf numFmtId="0" fontId="97" fillId="33" borderId="320" xfId="47" applyFont="1" applyFill="1" applyBorder="1" applyAlignment="1">
      <alignment horizontal="left" vertical="center" indent="1"/>
    </xf>
    <xf numFmtId="0" fontId="64" fillId="0" borderId="21" xfId="48" applyFont="1" applyBorder="1" applyAlignment="1">
      <alignment horizontal="left" vertical="center" indent="8"/>
    </xf>
    <xf numFmtId="0" fontId="63" fillId="0" borderId="22" xfId="48" applyFont="1" applyBorder="1" applyAlignment="1">
      <alignment horizontal="center" vertical="center" textRotation="90" wrapText="1"/>
    </xf>
    <xf numFmtId="0" fontId="64" fillId="0" borderId="40" xfId="48" applyFont="1" applyBorder="1" applyAlignment="1">
      <alignment horizontal="center" vertical="center" textRotation="90" wrapText="1"/>
    </xf>
    <xf numFmtId="3" fontId="64" fillId="0" borderId="12" xfId="48" applyNumberFormat="1" applyFont="1" applyBorder="1" applyAlignment="1">
      <alignment horizontal="center" vertical="center" wrapText="1"/>
    </xf>
    <xf numFmtId="0" fontId="64" fillId="0" borderId="335" xfId="48" applyFont="1" applyBorder="1" applyAlignment="1">
      <alignment horizontal="center" vertical="center" wrapText="1"/>
    </xf>
    <xf numFmtId="0" fontId="64" fillId="0" borderId="96" xfId="48" applyFont="1" applyBorder="1" applyAlignment="1">
      <alignment horizontal="center" vertical="center" wrapText="1"/>
    </xf>
    <xf numFmtId="0" fontId="64" fillId="0" borderId="39" xfId="48" applyFont="1" applyBorder="1" applyAlignment="1">
      <alignment horizontal="center" vertical="center" wrapText="1"/>
    </xf>
    <xf numFmtId="0" fontId="64" fillId="0" borderId="40" xfId="48" applyFont="1" applyBorder="1" applyAlignment="1">
      <alignment horizontal="center" vertical="center" wrapText="1"/>
    </xf>
    <xf numFmtId="0" fontId="64" fillId="0" borderId="4" xfId="48" applyFont="1" applyBorder="1" applyAlignment="1">
      <alignment horizontal="center" vertical="center" wrapText="1"/>
    </xf>
    <xf numFmtId="0" fontId="29" fillId="27" borderId="198" xfId="47" applyFont="1" applyFill="1" applyBorder="1" applyAlignment="1">
      <alignment horizontal="left" vertical="center"/>
    </xf>
    <xf numFmtId="0" fontId="29" fillId="27" borderId="51" xfId="47" applyFont="1" applyFill="1" applyBorder="1" applyAlignment="1">
      <alignment horizontal="left" vertical="center"/>
    </xf>
    <xf numFmtId="0" fontId="29" fillId="27" borderId="33" xfId="47" applyFont="1" applyFill="1" applyBorder="1" applyAlignment="1">
      <alignment horizontal="left" vertical="center"/>
    </xf>
    <xf numFmtId="0" fontId="114" fillId="34" borderId="336" xfId="47" applyFont="1" applyFill="1" applyBorder="1" applyAlignment="1">
      <alignment horizontal="center" vertical="center"/>
    </xf>
    <xf numFmtId="0" fontId="29" fillId="34" borderId="61" xfId="47" applyFont="1" applyFill="1" applyBorder="1" applyAlignment="1">
      <alignment horizontal="left" vertical="center"/>
    </xf>
    <xf numFmtId="0" fontId="32" fillId="32" borderId="250" xfId="47" applyFont="1" applyFill="1" applyBorder="1" applyAlignment="1">
      <alignment horizontal="center" vertical="center"/>
    </xf>
    <xf numFmtId="0" fontId="32" fillId="27" borderId="334" xfId="47" applyFont="1" applyFill="1" applyBorder="1" applyAlignment="1">
      <alignment horizontal="center" vertical="center"/>
    </xf>
    <xf numFmtId="0" fontId="27" fillId="3" borderId="251" xfId="47" applyFont="1" applyFill="1" applyBorder="1" applyAlignment="1">
      <alignment horizontal="center" vertical="center"/>
    </xf>
    <xf numFmtId="0" fontId="32" fillId="30" borderId="250" xfId="47" applyFont="1" applyFill="1" applyBorder="1" applyAlignment="1">
      <alignment horizontal="center" vertical="center"/>
    </xf>
    <xf numFmtId="0" fontId="32" fillId="30" borderId="334" xfId="47" applyFont="1" applyFill="1" applyBorder="1" applyAlignment="1">
      <alignment horizontal="center" vertical="center"/>
    </xf>
    <xf numFmtId="0" fontId="97" fillId="28" borderId="172" xfId="47" applyFont="1" applyFill="1" applyBorder="1" applyAlignment="1">
      <alignment vertical="center"/>
    </xf>
    <xf numFmtId="0" fontId="116" fillId="27" borderId="280" xfId="47" applyFont="1" applyFill="1" applyBorder="1" applyAlignment="1">
      <alignment horizontal="right" vertical="center"/>
    </xf>
    <xf numFmtId="0" fontId="29" fillId="27" borderId="186" xfId="47" applyFont="1" applyFill="1" applyBorder="1" applyAlignment="1">
      <alignment horizontal="left" vertical="center"/>
    </xf>
    <xf numFmtId="49" fontId="32" fillId="35" borderId="337" xfId="47" applyNumberFormat="1" applyFont="1" applyFill="1" applyBorder="1" applyAlignment="1">
      <alignment horizontal="center" vertical="center"/>
    </xf>
    <xf numFmtId="0" fontId="97" fillId="25" borderId="338" xfId="47" applyFont="1" applyFill="1" applyBorder="1" applyAlignment="1">
      <alignment horizontal="left" vertical="center" indent="1"/>
    </xf>
    <xf numFmtId="0" fontId="97" fillId="25" borderId="339" xfId="47" applyFont="1" applyFill="1" applyBorder="1" applyAlignment="1">
      <alignment horizontal="left" vertical="center" indent="1"/>
    </xf>
    <xf numFmtId="0" fontId="97" fillId="25" borderId="340" xfId="47" applyFont="1" applyFill="1" applyBorder="1" applyAlignment="1">
      <alignment horizontal="left" vertical="center" indent="1"/>
    </xf>
    <xf numFmtId="0" fontId="32" fillId="29" borderId="341" xfId="47" applyFont="1" applyFill="1" applyBorder="1" applyAlignment="1">
      <alignment horizontal="center" vertical="center"/>
    </xf>
    <xf numFmtId="0" fontId="97" fillId="0" borderId="307" xfId="47" applyFont="1" applyBorder="1" applyAlignment="1">
      <alignment horizontal="left" vertical="center"/>
    </xf>
    <xf numFmtId="0" fontId="97" fillId="0" borderId="218" xfId="47" applyFont="1" applyBorder="1" applyAlignment="1">
      <alignment horizontal="left" vertical="center"/>
    </xf>
    <xf numFmtId="0" fontId="64" fillId="0" borderId="77" xfId="48" applyFont="1" applyBorder="1" applyAlignment="1">
      <alignment horizontal="right" vertical="center" indent="1"/>
    </xf>
    <xf numFmtId="0" fontId="63" fillId="0" borderId="78" xfId="48" applyFont="1" applyBorder="1" applyAlignment="1">
      <alignment horizontal="right" vertical="center" indent="1"/>
    </xf>
    <xf numFmtId="49" fontId="64" fillId="0" borderId="37" xfId="48" applyNumberFormat="1" applyFont="1" applyBorder="1" applyAlignment="1">
      <alignment horizontal="right" vertical="center" indent="1"/>
    </xf>
    <xf numFmtId="0" fontId="63" fillId="0" borderId="71" xfId="48" applyFont="1" applyBorder="1" applyAlignment="1">
      <alignment horizontal="right" vertical="center" indent="1"/>
    </xf>
    <xf numFmtId="0" fontId="63" fillId="0" borderId="342" xfId="48" applyFont="1" applyBorder="1" applyAlignment="1">
      <alignment horizontal="right" vertical="center" indent="1"/>
    </xf>
    <xf numFmtId="0" fontId="63" fillId="0" borderId="191" xfId="48" applyFont="1" applyBorder="1" applyAlignment="1">
      <alignment horizontal="right" vertical="center" indent="1"/>
    </xf>
    <xf numFmtId="0" fontId="63" fillId="0" borderId="37" xfId="48" applyFont="1" applyBorder="1" applyAlignment="1">
      <alignment horizontal="right" vertical="center" indent="1"/>
    </xf>
    <xf numFmtId="0" fontId="63" fillId="0" borderId="343" xfId="48" applyFont="1" applyBorder="1" applyAlignment="1">
      <alignment horizontal="right" vertical="center" indent="1"/>
    </xf>
    <xf numFmtId="0" fontId="63" fillId="0" borderId="79" xfId="48" applyFont="1" applyBorder="1" applyAlignment="1">
      <alignment horizontal="right" vertical="center" indent="1"/>
    </xf>
    <xf numFmtId="0" fontId="29" fillId="27" borderId="344" xfId="47" applyFont="1" applyFill="1" applyBorder="1" applyAlignment="1">
      <alignment horizontal="left" vertical="center"/>
    </xf>
    <xf numFmtId="0" fontId="114" fillId="34" borderId="345" xfId="47" applyFont="1" applyFill="1" applyBorder="1" applyAlignment="1">
      <alignment horizontal="center" vertical="center"/>
    </xf>
    <xf numFmtId="0" fontId="42" fillId="28" borderId="15" xfId="47" applyFont="1" applyFill="1" applyBorder="1" applyAlignment="1">
      <alignment horizontal="left" vertical="center" indent="1"/>
    </xf>
    <xf numFmtId="0" fontId="29" fillId="34" borderId="29" xfId="47" applyFont="1" applyFill="1" applyBorder="1" applyAlignment="1">
      <alignment horizontal="left" vertical="center"/>
    </xf>
    <xf numFmtId="0" fontId="97" fillId="28" borderId="29" xfId="47" applyFont="1" applyFill="1" applyBorder="1" applyAlignment="1">
      <alignment vertical="center"/>
    </xf>
    <xf numFmtId="0" fontId="97" fillId="28" borderId="15" xfId="47" applyFont="1" applyFill="1" applyBorder="1" applyAlignment="1">
      <alignment vertical="center"/>
    </xf>
    <xf numFmtId="0" fontId="32" fillId="27" borderId="336" xfId="47" applyFont="1" applyFill="1" applyBorder="1" applyAlignment="1">
      <alignment horizontal="center" vertical="center"/>
    </xf>
    <xf numFmtId="0" fontId="32" fillId="27" borderId="196" xfId="47" applyFont="1" applyFill="1" applyBorder="1" applyAlignment="1">
      <alignment horizontal="center" vertical="center"/>
    </xf>
    <xf numFmtId="0" fontId="29" fillId="27" borderId="197" xfId="47" applyFont="1" applyFill="1" applyBorder="1" applyAlignment="1">
      <alignment horizontal="left" vertical="center"/>
    </xf>
    <xf numFmtId="0" fontId="22" fillId="0" borderId="207" xfId="47" applyFont="1" applyBorder="1" applyAlignment="1">
      <alignment horizontal="left" vertical="center"/>
    </xf>
    <xf numFmtId="0" fontId="97" fillId="24" borderId="36" xfId="47" applyFont="1" applyFill="1" applyBorder="1" applyAlignment="1">
      <alignment vertical="center"/>
    </xf>
    <xf numFmtId="0" fontId="97" fillId="24" borderId="136" xfId="47" applyFont="1" applyFill="1" applyBorder="1" applyAlignment="1">
      <alignment vertical="center"/>
    </xf>
    <xf numFmtId="0" fontId="64" fillId="0" borderId="19" xfId="48" applyFont="1" applyBorder="1" applyAlignment="1">
      <alignment horizontal="right" vertical="center" indent="1"/>
    </xf>
    <xf numFmtId="0" fontId="63" fillId="0" borderId="15" xfId="48" applyFont="1" applyBorder="1" applyAlignment="1">
      <alignment horizontal="right" vertical="center" indent="1"/>
    </xf>
    <xf numFmtId="49" fontId="64" fillId="0" borderId="16" xfId="48" applyNumberFormat="1" applyFont="1" applyBorder="1" applyAlignment="1">
      <alignment horizontal="right" vertical="center" indent="1"/>
    </xf>
    <xf numFmtId="0" fontId="64" fillId="0" borderId="276" xfId="48" applyFont="1" applyBorder="1" applyAlignment="1">
      <alignment horizontal="right" vertical="center" indent="1"/>
    </xf>
    <xf numFmtId="0" fontId="64" fillId="0" borderId="15" xfId="48" applyFont="1" applyBorder="1" applyAlignment="1">
      <alignment horizontal="right" vertical="center" indent="1"/>
    </xf>
    <xf numFmtId="0" fontId="64" fillId="0" borderId="277" xfId="48" applyFont="1" applyBorder="1" applyAlignment="1">
      <alignment horizontal="right" vertical="center" indent="1"/>
    </xf>
    <xf numFmtId="0" fontId="64" fillId="0" borderId="38" xfId="48" applyFont="1" applyBorder="1" applyAlignment="1">
      <alignment horizontal="right" vertical="center" indent="1"/>
    </xf>
    <xf numFmtId="0" fontId="64" fillId="0" borderId="16" xfId="48" applyFont="1" applyBorder="1" applyAlignment="1">
      <alignment horizontal="right" vertical="center" indent="1"/>
    </xf>
    <xf numFmtId="0" fontId="64" fillId="0" borderId="284" xfId="48" applyFont="1" applyBorder="1" applyAlignment="1">
      <alignment horizontal="right" vertical="center" indent="1"/>
    </xf>
    <xf numFmtId="0" fontId="64" fillId="0" borderId="26" xfId="48" applyFont="1" applyBorder="1" applyAlignment="1">
      <alignment horizontal="right" vertical="center" indent="1"/>
    </xf>
    <xf numFmtId="0" fontId="29" fillId="27" borderId="35" xfId="47" applyFont="1" applyFill="1" applyBorder="1" applyAlignment="1">
      <alignment horizontal="center" vertical="center"/>
    </xf>
    <xf numFmtId="0" fontId="114" fillId="27" borderId="15" xfId="47" applyFont="1" applyFill="1" applyBorder="1" applyAlignment="1">
      <alignment horizontal="center" vertical="center"/>
    </xf>
    <xf numFmtId="0" fontId="32" fillId="32" borderId="197" xfId="47" applyFont="1" applyFill="1" applyBorder="1" applyAlignment="1">
      <alignment horizontal="center" vertical="center"/>
    </xf>
    <xf numFmtId="0" fontId="29" fillId="34" borderId="346" xfId="47" applyFont="1" applyFill="1" applyBorder="1" applyAlignment="1">
      <alignment horizontal="left" vertical="center"/>
    </xf>
    <xf numFmtId="49" fontId="32" fillId="33" borderId="320" xfId="47" applyNumberFormat="1" applyFont="1" applyFill="1" applyBorder="1" applyAlignment="1">
      <alignment horizontal="center" vertical="center"/>
    </xf>
    <xf numFmtId="0" fontId="97" fillId="28" borderId="349" xfId="47" applyFont="1" applyFill="1" applyBorder="1" applyAlignment="1">
      <alignment vertical="center"/>
    </xf>
    <xf numFmtId="0" fontId="32" fillId="32" borderId="195" xfId="47" applyFont="1" applyFill="1" applyBorder="1" applyAlignment="1">
      <alignment horizontal="center" vertical="center"/>
    </xf>
    <xf numFmtId="0" fontId="29" fillId="27" borderId="15" xfId="47" applyFont="1" applyFill="1" applyBorder="1" applyAlignment="1">
      <alignment horizontal="left" vertical="center"/>
    </xf>
    <xf numFmtId="3" fontId="97" fillId="0" borderId="10" xfId="47" applyNumberFormat="1" applyFont="1" applyBorder="1" applyAlignment="1">
      <alignment horizontal="left" vertical="center" indent="1"/>
    </xf>
    <xf numFmtId="0" fontId="24" fillId="20" borderId="3" xfId="47" applyFont="1" applyFill="1" applyBorder="1" applyAlignment="1">
      <alignment horizontal="left" vertical="center" indent="1"/>
    </xf>
    <xf numFmtId="0" fontId="97" fillId="20" borderId="3" xfId="47" applyFont="1" applyFill="1" applyBorder="1" applyAlignment="1">
      <alignment horizontal="left" vertical="center" indent="1"/>
    </xf>
    <xf numFmtId="0" fontId="97" fillId="20" borderId="62" xfId="47" applyFont="1" applyFill="1" applyBorder="1" applyAlignment="1">
      <alignment horizontal="left" vertical="center" indent="1"/>
    </xf>
    <xf numFmtId="0" fontId="32" fillId="29" borderId="322" xfId="47" applyFont="1" applyFill="1" applyBorder="1" applyAlignment="1">
      <alignment horizontal="left" vertical="center" indent="1"/>
    </xf>
    <xf numFmtId="0" fontId="97" fillId="24" borderId="350" xfId="47" applyFont="1" applyFill="1" applyBorder="1" applyAlignment="1">
      <alignment vertical="center"/>
    </xf>
    <xf numFmtId="0" fontId="97" fillId="24" borderId="351" xfId="47" applyFont="1" applyFill="1" applyBorder="1" applyAlignment="1">
      <alignment vertical="center"/>
    </xf>
    <xf numFmtId="0" fontId="97" fillId="5" borderId="351" xfId="47" applyFont="1" applyFill="1" applyBorder="1" applyAlignment="1">
      <alignment vertical="center"/>
    </xf>
    <xf numFmtId="0" fontId="64" fillId="0" borderId="63" xfId="48" applyFont="1" applyBorder="1" applyAlignment="1">
      <alignment horizontal="right" vertical="center" indent="1"/>
    </xf>
    <xf numFmtId="0" fontId="63" fillId="0" borderId="51" xfId="48" applyFont="1" applyBorder="1" applyAlignment="1">
      <alignment horizontal="right" vertical="center" indent="1"/>
    </xf>
    <xf numFmtId="49" fontId="64" fillId="0" borderId="33" xfId="48" applyNumberFormat="1" applyFont="1" applyBorder="1" applyAlignment="1">
      <alignment horizontal="right" vertical="center" indent="1"/>
    </xf>
    <xf numFmtId="0" fontId="64" fillId="0" borderId="280" xfId="48" applyFont="1" applyBorder="1" applyAlignment="1">
      <alignment horizontal="right" vertical="center" indent="1"/>
    </xf>
    <xf numFmtId="0" fontId="64" fillId="0" borderId="51" xfId="48" applyFont="1" applyBorder="1" applyAlignment="1">
      <alignment horizontal="right" vertical="center" indent="1"/>
    </xf>
    <xf numFmtId="0" fontId="64" fillId="0" borderId="352" xfId="48" applyFont="1" applyBorder="1" applyAlignment="1">
      <alignment horizontal="right" vertical="center" indent="1"/>
    </xf>
    <xf numFmtId="0" fontId="64" fillId="0" borderId="52" xfId="48" applyFont="1" applyBorder="1" applyAlignment="1">
      <alignment horizontal="right" vertical="center" indent="1"/>
    </xf>
    <xf numFmtId="0" fontId="64" fillId="0" borderId="33" xfId="48" applyFont="1" applyBorder="1" applyAlignment="1">
      <alignment horizontal="right" vertical="center" indent="1"/>
    </xf>
    <xf numFmtId="0" fontId="64" fillId="0" borderId="296" xfId="48" applyFont="1" applyBorder="1" applyAlignment="1">
      <alignment horizontal="right" vertical="center" indent="1"/>
    </xf>
    <xf numFmtId="0" fontId="64" fillId="0" borderId="20" xfId="48" applyFont="1" applyBorder="1" applyAlignment="1">
      <alignment horizontal="right" vertical="center" indent="1"/>
    </xf>
    <xf numFmtId="0" fontId="32" fillId="32" borderId="16" xfId="47" applyFont="1" applyFill="1" applyBorder="1" applyAlignment="1">
      <alignment horizontal="center" vertical="center"/>
    </xf>
    <xf numFmtId="0" fontId="32" fillId="32" borderId="177" xfId="47" applyFont="1" applyFill="1" applyBorder="1" applyAlignment="1">
      <alignment horizontal="center" vertical="center"/>
    </xf>
    <xf numFmtId="0" fontId="32" fillId="29" borderId="341" xfId="47" applyFont="1" applyFill="1" applyBorder="1" applyAlignment="1">
      <alignment horizontal="left" vertical="center" indent="1"/>
    </xf>
    <xf numFmtId="0" fontId="97" fillId="0" borderId="90" xfId="47" applyFont="1" applyBorder="1" applyAlignment="1">
      <alignment vertical="center"/>
    </xf>
    <xf numFmtId="0" fontId="97" fillId="24" borderId="90" xfId="47" applyFont="1" applyFill="1" applyBorder="1" applyAlignment="1">
      <alignment vertical="center"/>
    </xf>
    <xf numFmtId="0" fontId="97" fillId="24" borderId="355" xfId="47" applyFont="1" applyFill="1" applyBorder="1" applyAlignment="1">
      <alignment vertical="center"/>
    </xf>
    <xf numFmtId="0" fontId="97" fillId="0" borderId="356" xfId="47" applyFont="1" applyBorder="1" applyAlignment="1">
      <alignment vertical="center"/>
    </xf>
    <xf numFmtId="0" fontId="97" fillId="24" borderId="90" xfId="47" applyFont="1" applyFill="1" applyBorder="1" applyAlignment="1">
      <alignment horizontal="left" vertical="center" indent="1"/>
    </xf>
    <xf numFmtId="0" fontId="97" fillId="24" borderId="357" xfId="47" applyFont="1" applyFill="1" applyBorder="1" applyAlignment="1">
      <alignment vertical="center"/>
    </xf>
    <xf numFmtId="0" fontId="97" fillId="5" borderId="357" xfId="47" applyFont="1" applyFill="1" applyBorder="1" applyAlignment="1">
      <alignment vertical="center"/>
    </xf>
    <xf numFmtId="0" fontId="64" fillId="0" borderId="60" xfId="48" applyFont="1" applyBorder="1" applyAlignment="1">
      <alignment horizontal="right" vertical="center" indent="1"/>
    </xf>
    <xf numFmtId="0" fontId="63" fillId="0" borderId="54" xfId="48" applyFont="1" applyBorder="1" applyAlignment="1">
      <alignment horizontal="right" vertical="center" indent="1"/>
    </xf>
    <xf numFmtId="49" fontId="64" fillId="0" borderId="55" xfId="48" applyNumberFormat="1" applyFont="1" applyBorder="1" applyAlignment="1">
      <alignment horizontal="right" vertical="center" indent="1"/>
    </xf>
    <xf numFmtId="0" fontId="64" fillId="0" borderId="285" xfId="48" applyFont="1" applyBorder="1" applyAlignment="1">
      <alignment horizontal="right" vertical="center" indent="1"/>
    </xf>
    <xf numFmtId="0" fontId="64" fillId="0" borderId="54" xfId="48" applyFont="1" applyBorder="1" applyAlignment="1">
      <alignment horizontal="right" vertical="center" indent="1"/>
    </xf>
    <xf numFmtId="0" fontId="64" fillId="0" borderId="93" xfId="48" applyFont="1" applyBorder="1" applyAlignment="1">
      <alignment horizontal="right" vertical="center" indent="1"/>
    </xf>
    <xf numFmtId="0" fontId="64" fillId="0" borderId="56" xfId="48" applyFont="1" applyBorder="1" applyAlignment="1">
      <alignment horizontal="right" vertical="center" indent="1"/>
    </xf>
    <xf numFmtId="0" fontId="64" fillId="0" borderId="55" xfId="48" applyFont="1" applyBorder="1" applyAlignment="1">
      <alignment horizontal="right" vertical="center" indent="1"/>
    </xf>
    <xf numFmtId="0" fontId="64" fillId="0" borderId="270" xfId="48" applyFont="1" applyBorder="1" applyAlignment="1">
      <alignment horizontal="right" vertical="center" indent="1"/>
    </xf>
    <xf numFmtId="0" fontId="64" fillId="0" borderId="358" xfId="48" applyFont="1" applyBorder="1" applyAlignment="1">
      <alignment horizontal="right" vertical="center" indent="1"/>
    </xf>
    <xf numFmtId="0" fontId="27" fillId="27" borderId="249" xfId="47" applyFont="1" applyFill="1" applyBorder="1" applyAlignment="1">
      <alignment horizontal="center" vertical="center"/>
    </xf>
    <xf numFmtId="0" fontId="27" fillId="27" borderId="51" xfId="47" applyFont="1" applyFill="1" applyBorder="1" applyAlignment="1">
      <alignment horizontal="center" vertical="center"/>
    </xf>
    <xf numFmtId="0" fontId="97" fillId="0" borderId="360" xfId="47" applyFont="1" applyBorder="1" applyAlignment="1">
      <alignment horizontal="left" vertical="center" indent="1"/>
    </xf>
    <xf numFmtId="49" fontId="30" fillId="28" borderId="29" xfId="47" applyNumberFormat="1" applyFont="1" applyFill="1" applyBorder="1" applyAlignment="1">
      <alignment horizontal="left" vertical="center"/>
    </xf>
    <xf numFmtId="49" fontId="117" fillId="28" borderId="29" xfId="47" applyNumberFormat="1" applyFont="1" applyFill="1" applyBorder="1" applyAlignment="1">
      <alignment vertical="center"/>
    </xf>
    <xf numFmtId="49" fontId="42" fillId="28" borderId="29" xfId="47" applyNumberFormat="1" applyFont="1" applyFill="1" applyBorder="1" applyAlignment="1">
      <alignment vertical="center"/>
    </xf>
    <xf numFmtId="49" fontId="30" fillId="28" borderId="361" xfId="47" applyNumberFormat="1" applyFont="1" applyFill="1" applyBorder="1" applyAlignment="1">
      <alignment horizontal="left" vertical="center"/>
    </xf>
    <xf numFmtId="0" fontId="114" fillId="27" borderId="196" xfId="47" applyFont="1" applyFill="1" applyBorder="1" applyAlignment="1">
      <alignment horizontal="center" vertical="center"/>
    </xf>
    <xf numFmtId="3" fontId="97" fillId="0" borderId="8" xfId="47" applyNumberFormat="1" applyFont="1" applyBorder="1" applyAlignment="1">
      <alignment horizontal="left" vertical="center" indent="1"/>
    </xf>
    <xf numFmtId="0" fontId="97" fillId="5" borderId="136" xfId="47" applyFont="1" applyFill="1" applyBorder="1" applyAlignment="1">
      <alignment vertical="center"/>
    </xf>
    <xf numFmtId="0" fontId="64" fillId="0" borderId="72" xfId="48" applyFont="1" applyBorder="1" applyAlignment="1">
      <alignment horizontal="right" vertical="center" indent="1"/>
    </xf>
    <xf numFmtId="0" fontId="63" fillId="0" borderId="57" xfId="48" applyFont="1" applyBorder="1" applyAlignment="1">
      <alignment horizontal="right" vertical="center" indent="1"/>
    </xf>
    <xf numFmtId="49" fontId="64" fillId="0" borderId="59" xfId="48" applyNumberFormat="1" applyFont="1" applyBorder="1" applyAlignment="1">
      <alignment horizontal="right" vertical="center" indent="1"/>
    </xf>
    <xf numFmtId="0" fontId="64" fillId="0" borderId="70" xfId="48" applyFont="1" applyBorder="1" applyAlignment="1">
      <alignment horizontal="right" vertical="center" indent="1"/>
    </xf>
    <xf numFmtId="0" fontId="64" fillId="0" borderId="57" xfId="48" applyFont="1" applyBorder="1" applyAlignment="1">
      <alignment horizontal="right" vertical="center" indent="1"/>
    </xf>
    <xf numFmtId="0" fontId="64" fillId="0" borderId="282" xfId="48" applyFont="1" applyBorder="1" applyAlignment="1">
      <alignment horizontal="right" vertical="center" indent="1"/>
    </xf>
    <xf numFmtId="0" fontId="64" fillId="0" borderId="58" xfId="48" applyFont="1" applyBorder="1" applyAlignment="1">
      <alignment horizontal="right" vertical="center" indent="1"/>
    </xf>
    <xf numFmtId="0" fontId="64" fillId="0" borderId="59" xfId="48" applyFont="1" applyBorder="1" applyAlignment="1">
      <alignment horizontal="right" vertical="center" indent="1"/>
    </xf>
    <xf numFmtId="0" fontId="64" fillId="0" borderId="137" xfId="48" applyFont="1" applyBorder="1" applyAlignment="1">
      <alignment horizontal="right" vertical="center" indent="1"/>
    </xf>
    <xf numFmtId="0" fontId="63" fillId="0" borderId="282" xfId="48" applyFont="1" applyBorder="1" applyAlignment="1">
      <alignment horizontal="right" vertical="center" indent="1"/>
    </xf>
    <xf numFmtId="0" fontId="63" fillId="0" borderId="70" xfId="48" applyFont="1" applyBorder="1" applyAlignment="1">
      <alignment horizontal="right" vertical="center" indent="1"/>
    </xf>
    <xf numFmtId="0" fontId="64" fillId="0" borderId="66" xfId="48" applyFont="1" applyBorder="1" applyAlignment="1">
      <alignment horizontal="right" vertical="center" indent="1"/>
    </xf>
    <xf numFmtId="0" fontId="32" fillId="30" borderId="16" xfId="47" applyFont="1" applyFill="1" applyBorder="1" applyAlignment="1">
      <alignment horizontal="center" vertical="center"/>
    </xf>
    <xf numFmtId="49" fontId="32" fillId="31" borderId="363" xfId="47" applyNumberFormat="1" applyFont="1" applyFill="1" applyBorder="1" applyAlignment="1">
      <alignment horizontal="left" vertical="center" indent="3"/>
    </xf>
    <xf numFmtId="49" fontId="32" fillId="31" borderId="361" xfId="47" applyNumberFormat="1" applyFont="1" applyFill="1" applyBorder="1" applyAlignment="1">
      <alignment horizontal="left" vertical="center" indent="1"/>
    </xf>
    <xf numFmtId="49" fontId="32" fillId="31" borderId="364" xfId="47" applyNumberFormat="1" applyFont="1" applyFill="1" applyBorder="1" applyAlignment="1">
      <alignment horizontal="left" vertical="center" indent="1"/>
    </xf>
    <xf numFmtId="0" fontId="32" fillId="30" borderId="177" xfId="47" applyFont="1" applyFill="1" applyBorder="1" applyAlignment="1">
      <alignment horizontal="center" vertical="center"/>
    </xf>
    <xf numFmtId="0" fontId="97" fillId="0" borderId="365" xfId="47" applyFont="1" applyBorder="1" applyAlignment="1">
      <alignment vertical="center"/>
    </xf>
    <xf numFmtId="0" fontId="97" fillId="5" borderId="328" xfId="47" applyFont="1" applyFill="1" applyBorder="1" applyAlignment="1">
      <alignment vertical="center"/>
    </xf>
    <xf numFmtId="0" fontId="64" fillId="0" borderId="34" xfId="48" applyFont="1" applyBorder="1" applyAlignment="1">
      <alignment horizontal="right" vertical="center" indent="1"/>
    </xf>
    <xf numFmtId="0" fontId="63" fillId="0" borderId="35" xfId="48" applyFont="1" applyBorder="1" applyAlignment="1">
      <alignment horizontal="right" vertical="center" indent="1"/>
    </xf>
    <xf numFmtId="49" fontId="64" fillId="0" borderId="61" xfId="48" applyNumberFormat="1" applyFont="1" applyBorder="1" applyAlignment="1">
      <alignment horizontal="right" vertical="center" indent="1"/>
    </xf>
    <xf numFmtId="0" fontId="64" fillId="0" borderId="274" xfId="48" applyFont="1" applyBorder="1" applyAlignment="1">
      <alignment horizontal="right" vertical="center" indent="1"/>
    </xf>
    <xf numFmtId="0" fontId="63" fillId="0" borderId="275" xfId="48" applyFont="1" applyBorder="1" applyAlignment="1">
      <alignment horizontal="right" vertical="center" indent="1"/>
    </xf>
    <xf numFmtId="0" fontId="63" fillId="0" borderId="53" xfId="48" applyFont="1" applyBorder="1" applyAlignment="1">
      <alignment horizontal="right" vertical="center" indent="1"/>
    </xf>
    <xf numFmtId="0" fontId="63" fillId="0" borderId="61" xfId="48" applyFont="1" applyBorder="1" applyAlignment="1">
      <alignment horizontal="right" vertical="center" indent="1"/>
    </xf>
    <xf numFmtId="0" fontId="64" fillId="0" borderId="275" xfId="48" applyFont="1" applyBorder="1" applyAlignment="1">
      <alignment horizontal="right" vertical="center" indent="1"/>
    </xf>
    <xf numFmtId="0" fontId="64" fillId="0" borderId="53" xfId="48" applyFont="1" applyBorder="1" applyAlignment="1">
      <alignment horizontal="right" vertical="center" indent="1"/>
    </xf>
    <xf numFmtId="0" fontId="64" fillId="0" borderId="61" xfId="48" applyFont="1" applyBorder="1" applyAlignment="1">
      <alignment horizontal="right" vertical="center" indent="1"/>
    </xf>
    <xf numFmtId="0" fontId="64" fillId="0" borderId="42" xfId="48" applyFont="1" applyBorder="1" applyAlignment="1">
      <alignment horizontal="right" vertical="center" indent="1"/>
    </xf>
    <xf numFmtId="0" fontId="97" fillId="28" borderId="353" xfId="47" applyFont="1" applyFill="1" applyBorder="1" applyAlignment="1">
      <alignment vertical="center"/>
    </xf>
    <xf numFmtId="49" fontId="32" fillId="35" borderId="320" xfId="47" applyNumberFormat="1" applyFont="1" applyFill="1" applyBorder="1" applyAlignment="1">
      <alignment horizontal="center" vertical="center"/>
    </xf>
    <xf numFmtId="0" fontId="97" fillId="28" borderId="366" xfId="47" applyFont="1" applyFill="1" applyBorder="1" applyAlignment="1">
      <alignment vertical="center"/>
    </xf>
    <xf numFmtId="0" fontId="32" fillId="30" borderId="249" xfId="47" applyFont="1" applyFill="1" applyBorder="1" applyAlignment="1">
      <alignment horizontal="center" vertical="center"/>
    </xf>
    <xf numFmtId="0" fontId="97" fillId="3" borderId="368" xfId="47" applyFont="1" applyFill="1" applyBorder="1" applyAlignment="1">
      <alignment horizontal="left" vertical="center" indent="1"/>
    </xf>
    <xf numFmtId="0" fontId="97" fillId="0" borderId="369" xfId="47" applyFont="1" applyBorder="1" applyAlignment="1">
      <alignment horizontal="left" vertical="center" indent="1"/>
    </xf>
    <xf numFmtId="0" fontId="22" fillId="0" borderId="370" xfId="47" applyFont="1" applyBorder="1" applyAlignment="1">
      <alignment horizontal="left" vertical="center" indent="1"/>
    </xf>
    <xf numFmtId="0" fontId="22" fillId="0" borderId="371" xfId="47" applyFont="1" applyBorder="1" applyAlignment="1">
      <alignment horizontal="left" vertical="center" indent="1"/>
    </xf>
    <xf numFmtId="0" fontId="97" fillId="0" borderId="372" xfId="47" applyFont="1" applyBorder="1" applyAlignment="1">
      <alignment vertical="center"/>
    </xf>
    <xf numFmtId="0" fontId="97" fillId="5" borderId="315" xfId="47" applyFont="1" applyFill="1" applyBorder="1" applyAlignment="1">
      <alignment vertical="center"/>
    </xf>
    <xf numFmtId="0" fontId="63" fillId="0" borderId="276" xfId="48" applyFont="1" applyBorder="1" applyAlignment="1">
      <alignment horizontal="right" vertical="center" indent="1"/>
    </xf>
    <xf numFmtId="0" fontId="63" fillId="0" borderId="277" xfId="48" applyFont="1" applyBorder="1" applyAlignment="1">
      <alignment horizontal="right" vertical="center" indent="1"/>
    </xf>
    <xf numFmtId="0" fontId="63" fillId="0" borderId="38" xfId="48" applyFont="1" applyBorder="1" applyAlignment="1">
      <alignment horizontal="right" vertical="center" indent="1"/>
    </xf>
    <xf numFmtId="0" fontId="63" fillId="0" borderId="16" xfId="48" applyFont="1" applyBorder="1" applyAlignment="1">
      <alignment horizontal="right" vertical="center" indent="1"/>
    </xf>
    <xf numFmtId="0" fontId="63" fillId="0" borderId="284" xfId="48" applyFont="1" applyBorder="1" applyAlignment="1">
      <alignment horizontal="right" vertical="center" indent="1"/>
    </xf>
    <xf numFmtId="0" fontId="30" fillId="3" borderId="250" xfId="47" applyFont="1" applyFill="1" applyBorder="1" applyAlignment="1">
      <alignment vertical="center"/>
    </xf>
    <xf numFmtId="0" fontId="30" fillId="3" borderId="252" xfId="47" applyFont="1" applyFill="1" applyBorder="1" applyAlignment="1">
      <alignment vertical="center"/>
    </xf>
    <xf numFmtId="0" fontId="42" fillId="28" borderId="29" xfId="47" applyFont="1" applyFill="1" applyBorder="1" applyAlignment="1">
      <alignment vertical="center"/>
    </xf>
    <xf numFmtId="0" fontId="97" fillId="3" borderId="373" xfId="47" applyFont="1" applyFill="1" applyBorder="1" applyAlignment="1">
      <alignment vertical="center"/>
    </xf>
    <xf numFmtId="0" fontId="97" fillId="3" borderId="250" xfId="47" applyFont="1" applyFill="1" applyBorder="1" applyAlignment="1">
      <alignment vertical="center"/>
    </xf>
    <xf numFmtId="0" fontId="97" fillId="0" borderId="374" xfId="47" applyFont="1" applyBorder="1" applyAlignment="1">
      <alignment horizontal="left" vertical="center" indent="1"/>
    </xf>
    <xf numFmtId="0" fontId="97" fillId="0" borderId="25" xfId="47" applyFont="1" applyBorder="1" applyAlignment="1">
      <alignment vertical="center"/>
    </xf>
    <xf numFmtId="0" fontId="97" fillId="0" borderId="25" xfId="47" applyFont="1" applyBorder="1" applyAlignment="1">
      <alignment horizontal="left" vertical="center" indent="1"/>
    </xf>
    <xf numFmtId="0" fontId="97" fillId="0" borderId="375" xfId="47" applyFont="1" applyBorder="1" applyAlignment="1">
      <alignment vertical="center"/>
    </xf>
    <xf numFmtId="0" fontId="97" fillId="0" borderId="154" xfId="47" applyFont="1" applyBorder="1" applyAlignment="1">
      <alignment vertical="center"/>
    </xf>
    <xf numFmtId="0" fontId="63" fillId="0" borderId="352" xfId="48" applyFont="1" applyBorder="1" applyAlignment="1">
      <alignment horizontal="right" vertical="center" indent="1"/>
    </xf>
    <xf numFmtId="0" fontId="63" fillId="0" borderId="52" xfId="48" applyFont="1" applyBorder="1" applyAlignment="1">
      <alignment horizontal="right" vertical="center" indent="1"/>
    </xf>
    <xf numFmtId="0" fontId="63" fillId="0" borderId="33" xfId="48" applyFont="1" applyBorder="1" applyAlignment="1">
      <alignment horizontal="right" vertical="center" indent="1"/>
    </xf>
    <xf numFmtId="0" fontId="63" fillId="0" borderId="280" xfId="48" applyFont="1" applyBorder="1" applyAlignment="1">
      <alignment horizontal="right" vertical="center" indent="1"/>
    </xf>
    <xf numFmtId="0" fontId="30" fillId="3" borderId="35" xfId="47" applyFont="1" applyFill="1" applyBorder="1" applyAlignment="1">
      <alignment vertical="center"/>
    </xf>
    <xf numFmtId="0" fontId="30" fillId="3" borderId="61" xfId="47" applyFont="1" applyFill="1" applyBorder="1" applyAlignment="1">
      <alignment vertical="center"/>
    </xf>
    <xf numFmtId="0" fontId="97" fillId="28" borderId="373" xfId="47" applyFont="1" applyFill="1" applyBorder="1" applyAlignment="1">
      <alignment vertical="center"/>
    </xf>
    <xf numFmtId="0" fontId="97" fillId="28" borderId="59" xfId="47" applyFont="1" applyFill="1" applyBorder="1" applyAlignment="1">
      <alignment vertical="center"/>
    </xf>
    <xf numFmtId="0" fontId="32" fillId="30" borderId="195" xfId="47" applyFont="1" applyFill="1" applyBorder="1" applyAlignment="1">
      <alignment horizontal="center" vertical="center"/>
    </xf>
    <xf numFmtId="0" fontId="32" fillId="30" borderId="196" xfId="47" applyFont="1" applyFill="1" applyBorder="1" applyAlignment="1">
      <alignment horizontal="center" vertical="center"/>
    </xf>
    <xf numFmtId="0" fontId="97" fillId="3" borderId="197" xfId="47" applyFont="1" applyFill="1" applyBorder="1" applyAlignment="1">
      <alignment horizontal="center" vertical="center"/>
    </xf>
    <xf numFmtId="0" fontId="97" fillId="3" borderId="376" xfId="47" applyFont="1" applyFill="1" applyBorder="1" applyAlignment="1">
      <alignment horizontal="center" vertical="center"/>
    </xf>
    <xf numFmtId="0" fontId="32" fillId="30" borderId="197" xfId="47" applyFont="1" applyFill="1" applyBorder="1" applyAlignment="1">
      <alignment horizontal="center" vertical="center"/>
    </xf>
    <xf numFmtId="0" fontId="97" fillId="28" borderId="58" xfId="47" applyFont="1" applyFill="1" applyBorder="1" applyAlignment="1">
      <alignment vertical="center"/>
    </xf>
    <xf numFmtId="0" fontId="97" fillId="28" borderId="33" xfId="47" applyFont="1" applyFill="1" applyBorder="1" applyAlignment="1">
      <alignment vertical="center"/>
    </xf>
    <xf numFmtId="0" fontId="97" fillId="3" borderId="274" xfId="47" applyFont="1" applyFill="1" applyBorder="1" applyAlignment="1">
      <alignment vertical="center"/>
    </xf>
    <xf numFmtId="0" fontId="97" fillId="3" borderId="35" xfId="47" applyFont="1" applyFill="1" applyBorder="1" applyAlignment="1">
      <alignment vertical="center"/>
    </xf>
    <xf numFmtId="0" fontId="97" fillId="0" borderId="377" xfId="47" applyFont="1" applyBorder="1" applyAlignment="1">
      <alignment vertical="center"/>
    </xf>
    <xf numFmtId="0" fontId="97" fillId="0" borderId="307" xfId="47" applyFont="1" applyBorder="1" applyAlignment="1">
      <alignment vertical="center"/>
    </xf>
    <xf numFmtId="0" fontId="63" fillId="0" borderId="285" xfId="48" applyFont="1" applyBorder="1" applyAlignment="1">
      <alignment horizontal="right" vertical="center" indent="1"/>
    </xf>
    <xf numFmtId="0" fontId="63" fillId="0" borderId="56" xfId="48" applyFont="1" applyBorder="1" applyAlignment="1">
      <alignment horizontal="right" vertical="center" indent="1"/>
    </xf>
    <xf numFmtId="0" fontId="63" fillId="0" borderId="55" xfId="48" applyFont="1" applyBorder="1" applyAlignment="1">
      <alignment horizontal="right" vertical="center" indent="1"/>
    </xf>
    <xf numFmtId="0" fontId="63" fillId="0" borderId="270" xfId="48" applyFont="1" applyBorder="1" applyAlignment="1">
      <alignment horizontal="right" vertical="center" indent="1"/>
    </xf>
    <xf numFmtId="0" fontId="63" fillId="0" borderId="358" xfId="48" applyFont="1" applyBorder="1" applyAlignment="1">
      <alignment horizontal="right" vertical="center" indent="1"/>
    </xf>
    <xf numFmtId="0" fontId="27" fillId="27" borderId="53" xfId="47" applyFont="1" applyFill="1" applyBorder="1" applyAlignment="1">
      <alignment horizontal="center" vertical="center"/>
    </xf>
    <xf numFmtId="0" fontId="29" fillId="27" borderId="176" xfId="47" applyFont="1" applyFill="1" applyBorder="1" applyAlignment="1">
      <alignment horizontal="left" vertical="center"/>
    </xf>
    <xf numFmtId="0" fontId="29" fillId="3" borderId="53" xfId="47" applyFont="1" applyFill="1" applyBorder="1" applyAlignment="1">
      <alignment vertical="center"/>
    </xf>
    <xf numFmtId="0" fontId="29" fillId="3" borderId="35" xfId="47" applyFont="1" applyFill="1" applyBorder="1" applyAlignment="1">
      <alignment vertical="center"/>
    </xf>
    <xf numFmtId="0" fontId="32" fillId="3" borderId="61" xfId="47" applyFont="1" applyFill="1" applyBorder="1" applyAlignment="1">
      <alignment horizontal="center" vertical="center"/>
    </xf>
    <xf numFmtId="0" fontId="32" fillId="32" borderId="181" xfId="47" applyFont="1" applyFill="1" applyBorder="1" applyAlignment="1">
      <alignment horizontal="center" vertical="center"/>
    </xf>
    <xf numFmtId="0" fontId="27" fillId="27" borderId="38" xfId="47" applyFont="1" applyFill="1" applyBorder="1" applyAlignment="1">
      <alignment horizontal="center" vertical="center"/>
    </xf>
    <xf numFmtId="0" fontId="30" fillId="27" borderId="181" xfId="47" applyFont="1" applyFill="1" applyBorder="1" applyAlignment="1">
      <alignment horizontal="left" vertical="center"/>
    </xf>
    <xf numFmtId="0" fontId="32" fillId="3" borderId="16" xfId="47" applyFont="1" applyFill="1" applyBorder="1" applyAlignment="1">
      <alignment horizontal="center" vertical="center"/>
    </xf>
    <xf numFmtId="0" fontId="97" fillId="2" borderId="320" xfId="47" applyFont="1" applyFill="1" applyBorder="1" applyAlignment="1">
      <alignment vertical="center"/>
    </xf>
    <xf numFmtId="0" fontId="97" fillId="0" borderId="323" xfId="47" applyFont="1" applyBorder="1" applyAlignment="1">
      <alignment horizontal="left" vertical="center" indent="1"/>
    </xf>
    <xf numFmtId="0" fontId="97" fillId="5" borderId="307" xfId="47" applyFont="1" applyFill="1" applyBorder="1" applyAlignment="1">
      <alignment vertical="center"/>
    </xf>
    <xf numFmtId="0" fontId="63" fillId="0" borderId="58" xfId="48" applyFont="1" applyBorder="1" applyAlignment="1">
      <alignment horizontal="right" vertical="center" indent="1"/>
    </xf>
    <xf numFmtId="0" fontId="63" fillId="0" borderId="59" xfId="48" applyFont="1" applyBorder="1" applyAlignment="1">
      <alignment horizontal="right" vertical="center" indent="1"/>
    </xf>
    <xf numFmtId="0" fontId="29" fillId="27" borderId="249" xfId="47" applyFont="1" applyFill="1" applyBorder="1" applyAlignment="1">
      <alignment horizontal="left" vertical="center"/>
    </xf>
    <xf numFmtId="0" fontId="114" fillId="27" borderId="250" xfId="47" applyFont="1" applyFill="1" applyBorder="1" applyAlignment="1">
      <alignment horizontal="left" vertical="center"/>
    </xf>
    <xf numFmtId="0" fontId="29" fillId="27" borderId="250" xfId="47" applyFont="1" applyFill="1" applyBorder="1" applyAlignment="1">
      <alignment horizontal="left" vertical="center"/>
    </xf>
    <xf numFmtId="0" fontId="29" fillId="27" borderId="334" xfId="47" applyFont="1" applyFill="1" applyBorder="1" applyAlignment="1">
      <alignment horizontal="left" vertical="center"/>
    </xf>
    <xf numFmtId="0" fontId="32" fillId="27" borderId="249" xfId="47" applyFont="1" applyFill="1" applyBorder="1" applyAlignment="1">
      <alignment horizontal="center" vertical="center"/>
    </xf>
    <xf numFmtId="0" fontId="97" fillId="20" borderId="337" xfId="47" applyFont="1" applyFill="1" applyBorder="1" applyAlignment="1">
      <alignment vertical="center"/>
    </xf>
    <xf numFmtId="0" fontId="97" fillId="0" borderId="307" xfId="47" applyFont="1" applyBorder="1" applyAlignment="1">
      <alignment horizontal="left" vertical="center" indent="1"/>
    </xf>
    <xf numFmtId="0" fontId="97" fillId="0" borderId="218" xfId="47" applyFont="1" applyBorder="1" applyAlignment="1">
      <alignment horizontal="left" vertical="center" indent="1"/>
    </xf>
    <xf numFmtId="0" fontId="16" fillId="0" borderId="209" xfId="47" applyFont="1" applyBorder="1" applyAlignment="1">
      <alignment horizontal="left" vertical="center" indent="1"/>
    </xf>
    <xf numFmtId="0" fontId="24" fillId="0" borderId="0" xfId="47" applyFont="1" applyBorder="1" applyAlignment="1">
      <alignment horizontal="center" vertical="center"/>
    </xf>
    <xf numFmtId="0" fontId="24" fillId="0" borderId="378" xfId="47" applyFont="1" applyBorder="1" applyAlignment="1">
      <alignment vertical="center"/>
    </xf>
    <xf numFmtId="0" fontId="24" fillId="0" borderId="304" xfId="47" applyFont="1" applyBorder="1" applyAlignment="1">
      <alignment vertical="center"/>
    </xf>
    <xf numFmtId="0" fontId="97" fillId="11" borderId="0" xfId="47" applyFont="1" applyFill="1" applyBorder="1" applyAlignment="1">
      <alignment horizontal="left" vertical="center" indent="1"/>
    </xf>
    <xf numFmtId="0" fontId="97" fillId="0" borderId="10" xfId="47" applyFont="1" applyBorder="1" applyAlignment="1">
      <alignment horizontal="left" vertical="center" indent="1"/>
    </xf>
    <xf numFmtId="0" fontId="97" fillId="3" borderId="309" xfId="47" applyFont="1" applyFill="1" applyBorder="1" applyAlignment="1">
      <alignment horizontal="left" vertical="center" indent="1"/>
    </xf>
    <xf numFmtId="0" fontId="22" fillId="0" borderId="154" xfId="47" applyFont="1" applyBorder="1" applyAlignment="1">
      <alignment horizontal="left" vertical="center" indent="1"/>
    </xf>
    <xf numFmtId="0" fontId="22" fillId="0" borderId="208" xfId="47" applyFont="1" applyBorder="1" applyAlignment="1">
      <alignment horizontal="left" vertical="center" indent="1"/>
    </xf>
    <xf numFmtId="0" fontId="97" fillId="0" borderId="228" xfId="47" applyFont="1" applyBorder="1" applyAlignment="1">
      <alignment horizontal="left" vertical="center" indent="1"/>
    </xf>
    <xf numFmtId="0" fontId="97" fillId="0" borderId="378" xfId="47" applyFont="1" applyBorder="1" applyAlignment="1">
      <alignment vertical="center"/>
    </xf>
    <xf numFmtId="0" fontId="63" fillId="0" borderId="26" xfId="48" applyFont="1" applyBorder="1" applyAlignment="1">
      <alignment horizontal="right" vertical="center" indent="1"/>
    </xf>
    <xf numFmtId="0" fontId="97" fillId="36" borderId="296" xfId="47" applyFont="1" applyFill="1" applyBorder="1" applyAlignment="1">
      <alignment horizontal="left" vertical="center" indent="1"/>
    </xf>
    <xf numFmtId="0" fontId="97" fillId="5" borderId="24" xfId="47" applyFont="1" applyFill="1" applyBorder="1" applyAlignment="1">
      <alignment vertical="center"/>
    </xf>
    <xf numFmtId="0" fontId="16" fillId="0" borderId="24" xfId="47" applyFont="1" applyBorder="1" applyAlignment="1">
      <alignment horizontal="left" vertical="center"/>
    </xf>
    <xf numFmtId="0" fontId="97" fillId="5" borderId="24" xfId="47" applyFont="1" applyFill="1" applyBorder="1" applyAlignment="1">
      <alignment horizontal="left" vertical="center" indent="1"/>
    </xf>
    <xf numFmtId="0" fontId="97" fillId="36" borderId="296" xfId="47" applyFont="1" applyFill="1" applyBorder="1" applyAlignment="1">
      <alignment vertical="center"/>
    </xf>
    <xf numFmtId="0" fontId="24" fillId="11" borderId="0" xfId="47" applyFont="1" applyFill="1" applyAlignment="1">
      <alignment horizontal="left" vertical="center" indent="1"/>
    </xf>
    <xf numFmtId="0" fontId="97" fillId="30" borderId="320" xfId="47" applyFont="1" applyFill="1" applyBorder="1" applyAlignment="1">
      <alignment horizontal="left" vertical="center" indent="1"/>
    </xf>
    <xf numFmtId="0" fontId="97" fillId="0" borderId="313" xfId="47" applyFont="1" applyBorder="1" applyAlignment="1">
      <alignment horizontal="left" vertical="center" indent="1"/>
    </xf>
    <xf numFmtId="0" fontId="22" fillId="0" borderId="307" xfId="47" applyFont="1" applyBorder="1" applyAlignment="1">
      <alignment horizontal="left" vertical="center" indent="1"/>
    </xf>
    <xf numFmtId="0" fontId="22" fillId="0" borderId="218" xfId="47" applyFont="1" applyBorder="1" applyAlignment="1">
      <alignment horizontal="left" vertical="center" indent="1"/>
    </xf>
    <xf numFmtId="0" fontId="97" fillId="5" borderId="0" xfId="47" applyFont="1" applyFill="1" applyBorder="1" applyAlignment="1">
      <alignment horizontal="right" vertical="center" indent="1"/>
    </xf>
    <xf numFmtId="0" fontId="97" fillId="0" borderId="228" xfId="47" applyFont="1" applyBorder="1" applyAlignment="1">
      <alignment vertical="center"/>
    </xf>
    <xf numFmtId="0" fontId="97" fillId="25" borderId="3" xfId="47" applyFont="1" applyFill="1" applyBorder="1" applyAlignment="1">
      <alignment vertical="center"/>
    </xf>
    <xf numFmtId="0" fontId="97" fillId="25" borderId="0" xfId="47" applyFont="1" applyFill="1" applyBorder="1" applyAlignment="1">
      <alignment horizontal="left" vertical="center" indent="1"/>
    </xf>
    <xf numFmtId="0" fontId="22" fillId="25" borderId="0" xfId="47" applyFont="1" applyFill="1" applyBorder="1" applyAlignment="1">
      <alignment horizontal="left" vertical="center" indent="1"/>
    </xf>
    <xf numFmtId="0" fontId="97" fillId="25" borderId="3" xfId="47" applyFont="1" applyFill="1" applyBorder="1" applyAlignment="1">
      <alignment horizontal="left" vertical="center" indent="1"/>
    </xf>
    <xf numFmtId="0" fontId="97" fillId="37" borderId="260" xfId="47" applyFont="1" applyFill="1" applyBorder="1" applyAlignment="1">
      <alignment horizontal="left" vertical="center" indent="1"/>
    </xf>
    <xf numFmtId="0" fontId="97" fillId="37" borderId="32" xfId="47" applyFont="1" applyFill="1" applyBorder="1" applyAlignment="1">
      <alignment horizontal="left" vertical="center" indent="1"/>
    </xf>
    <xf numFmtId="0" fontId="16" fillId="0" borderId="0" xfId="47" applyFont="1" applyAlignment="1">
      <alignment horizontal="left" vertical="center" indent="1"/>
    </xf>
    <xf numFmtId="0" fontId="97" fillId="25" borderId="263" xfId="47" applyFont="1" applyFill="1" applyBorder="1" applyAlignment="1">
      <alignment horizontal="left" vertical="center" indent="1"/>
    </xf>
    <xf numFmtId="0" fontId="97" fillId="38" borderId="207" xfId="47" applyFont="1" applyFill="1" applyBorder="1" applyAlignment="1">
      <alignment horizontal="left" vertical="center" indent="1"/>
    </xf>
    <xf numFmtId="0" fontId="97" fillId="38" borderId="183" xfId="47" applyFont="1" applyFill="1" applyBorder="1" applyAlignment="1">
      <alignment horizontal="left" vertical="center" indent="1"/>
    </xf>
    <xf numFmtId="0" fontId="97" fillId="37" borderId="182" xfId="47" applyFont="1" applyFill="1" applyBorder="1" applyAlignment="1">
      <alignment horizontal="left" vertical="center" indent="1"/>
    </xf>
    <xf numFmtId="0" fontId="97" fillId="37" borderId="154" xfId="47" applyFont="1" applyFill="1" applyBorder="1" applyAlignment="1">
      <alignment horizontal="left" vertical="center" indent="1"/>
    </xf>
    <xf numFmtId="0" fontId="97" fillId="39" borderId="182" xfId="47" applyFont="1" applyFill="1" applyBorder="1" applyAlignment="1">
      <alignment horizontal="left" vertical="center" indent="1"/>
    </xf>
    <xf numFmtId="0" fontId="97" fillId="39" borderId="208" xfId="47" applyFont="1" applyFill="1" applyBorder="1" applyAlignment="1">
      <alignment horizontal="left" vertical="center" indent="1"/>
    </xf>
    <xf numFmtId="0" fontId="97" fillId="25" borderId="264" xfId="47" applyFont="1" applyFill="1" applyBorder="1" applyAlignment="1">
      <alignment horizontal="left" vertical="center" indent="1"/>
    </xf>
    <xf numFmtId="0" fontId="97" fillId="37" borderId="263" xfId="47" applyFont="1" applyFill="1" applyBorder="1" applyAlignment="1">
      <alignment horizontal="left" vertical="center" indent="1"/>
    </xf>
    <xf numFmtId="0" fontId="97" fillId="37" borderId="264" xfId="47" applyFont="1" applyFill="1" applyBorder="1" applyAlignment="1">
      <alignment horizontal="left" vertical="center" indent="1"/>
    </xf>
    <xf numFmtId="0" fontId="16" fillId="0" borderId="381" xfId="47" applyFont="1" applyBorder="1" applyAlignment="1">
      <alignment horizontal="left" vertical="center" indent="1"/>
    </xf>
    <xf numFmtId="0" fontId="97" fillId="0" borderId="382" xfId="47" applyFont="1" applyBorder="1" applyAlignment="1">
      <alignment vertical="center"/>
    </xf>
    <xf numFmtId="0" fontId="97" fillId="0" borderId="14" xfId="47" applyFont="1" applyBorder="1" applyAlignment="1">
      <alignment vertical="center"/>
    </xf>
    <xf numFmtId="0" fontId="97" fillId="38" borderId="209" xfId="47" applyFont="1" applyFill="1" applyBorder="1" applyAlignment="1">
      <alignment horizontal="left" vertical="center" indent="1"/>
    </xf>
    <xf numFmtId="0" fontId="97" fillId="38" borderId="264" xfId="47" applyFont="1" applyFill="1" applyBorder="1" applyAlignment="1">
      <alignment horizontal="left" vertical="center" indent="1"/>
    </xf>
    <xf numFmtId="0" fontId="97" fillId="37" borderId="0" xfId="47" applyFont="1" applyFill="1" applyBorder="1" applyAlignment="1">
      <alignment horizontal="left" vertical="center" indent="1"/>
    </xf>
    <xf numFmtId="0" fontId="97" fillId="39" borderId="263" xfId="47" applyFont="1" applyFill="1" applyBorder="1" applyAlignment="1">
      <alignment horizontal="left" vertical="center" indent="1"/>
    </xf>
    <xf numFmtId="0" fontId="97" fillId="39" borderId="210" xfId="47" applyFont="1" applyFill="1" applyBorder="1" applyAlignment="1">
      <alignment horizontal="left" vertical="center" indent="1"/>
    </xf>
    <xf numFmtId="0" fontId="22" fillId="0" borderId="385" xfId="47" applyFont="1" applyBorder="1" applyAlignment="1">
      <alignment horizontal="left" vertical="center" indent="1"/>
    </xf>
    <xf numFmtId="0" fontId="97" fillId="0" borderId="29" xfId="47" applyFont="1" applyBorder="1" applyAlignment="1">
      <alignment vertical="center"/>
    </xf>
    <xf numFmtId="0" fontId="24" fillId="20" borderId="2" xfId="47" applyFont="1" applyFill="1" applyBorder="1" applyAlignment="1">
      <alignment horizontal="left" vertical="center" indent="1"/>
    </xf>
    <xf numFmtId="0" fontId="97" fillId="38" borderId="0" xfId="47" applyFont="1" applyFill="1" applyBorder="1" applyAlignment="1">
      <alignment horizontal="left" vertical="center" indent="1"/>
    </xf>
    <xf numFmtId="0" fontId="97" fillId="2" borderId="5" xfId="47" applyFont="1" applyFill="1" applyBorder="1" applyAlignment="1">
      <alignment horizontal="left" vertical="center" indent="1"/>
    </xf>
    <xf numFmtId="0" fontId="97" fillId="2" borderId="50" xfId="47" applyFont="1" applyFill="1" applyBorder="1" applyAlignment="1">
      <alignment horizontal="left" vertical="center" indent="1"/>
    </xf>
    <xf numFmtId="0" fontId="97" fillId="39" borderId="0" xfId="47" applyFont="1" applyFill="1" applyBorder="1" applyAlignment="1">
      <alignment horizontal="left" vertical="center" indent="1"/>
    </xf>
    <xf numFmtId="0" fontId="97" fillId="38" borderId="260" xfId="47" applyFont="1" applyFill="1" applyBorder="1" applyAlignment="1">
      <alignment vertical="center"/>
    </xf>
    <xf numFmtId="0" fontId="97" fillId="38" borderId="32" xfId="47" applyFont="1" applyFill="1" applyBorder="1" applyAlignment="1">
      <alignment vertical="center"/>
    </xf>
    <xf numFmtId="3" fontId="97" fillId="0" borderId="374" xfId="47" applyNumberFormat="1" applyFont="1" applyBorder="1" applyAlignment="1">
      <alignment horizontal="left" vertical="center" indent="1"/>
    </xf>
    <xf numFmtId="0" fontId="63" fillId="0" borderId="274" xfId="48" applyFont="1" applyBorder="1" applyAlignment="1">
      <alignment horizontal="right" vertical="center" indent="1"/>
    </xf>
    <xf numFmtId="0" fontId="63" fillId="0" borderId="42" xfId="48" applyFont="1" applyBorder="1" applyAlignment="1">
      <alignment horizontal="right" vertical="center" indent="1"/>
    </xf>
    <xf numFmtId="0" fontId="97" fillId="38" borderId="386" xfId="47" applyFont="1" applyFill="1" applyBorder="1" applyAlignment="1">
      <alignment horizontal="left" vertical="center" indent="1"/>
    </xf>
    <xf numFmtId="0" fontId="97" fillId="38" borderId="24" xfId="47" applyFont="1" applyFill="1" applyBorder="1" applyAlignment="1">
      <alignment horizontal="left" vertical="center" indent="1"/>
    </xf>
    <xf numFmtId="0" fontId="97" fillId="2" borderId="10" xfId="47" applyFont="1" applyFill="1" applyBorder="1" applyAlignment="1">
      <alignment horizontal="left" vertical="center" indent="1"/>
    </xf>
    <xf numFmtId="0" fontId="97" fillId="2" borderId="265" xfId="47" applyFont="1" applyFill="1" applyBorder="1" applyAlignment="1">
      <alignment horizontal="left" vertical="center" indent="1"/>
    </xf>
    <xf numFmtId="0" fontId="97" fillId="38" borderId="263" xfId="47" applyFont="1" applyFill="1" applyBorder="1" applyAlignment="1">
      <alignment vertical="center"/>
    </xf>
    <xf numFmtId="0" fontId="97" fillId="38" borderId="264" xfId="47" applyFont="1" applyFill="1" applyBorder="1" applyAlignment="1">
      <alignment vertical="center"/>
    </xf>
    <xf numFmtId="0" fontId="97" fillId="41" borderId="387" xfId="47" applyFont="1" applyFill="1" applyBorder="1" applyAlignment="1">
      <alignment horizontal="left" vertical="center" indent="1"/>
    </xf>
    <xf numFmtId="0" fontId="97" fillId="41" borderId="25" xfId="47" applyFont="1" applyFill="1" applyBorder="1" applyAlignment="1">
      <alignment horizontal="left" vertical="center" indent="1"/>
    </xf>
    <xf numFmtId="0" fontId="97" fillId="41" borderId="0" xfId="47" applyFont="1" applyFill="1" applyBorder="1" applyAlignment="1">
      <alignment horizontal="left" vertical="center" indent="1"/>
    </xf>
    <xf numFmtId="0" fontId="97" fillId="41" borderId="260" xfId="47" applyFont="1" applyFill="1" applyBorder="1" applyAlignment="1">
      <alignment horizontal="left" vertical="center" indent="1"/>
    </xf>
    <xf numFmtId="0" fontId="97" fillId="41" borderId="32" xfId="47" applyFont="1" applyFill="1" applyBorder="1" applyAlignment="1">
      <alignment horizontal="left" vertical="center" indent="1"/>
    </xf>
    <xf numFmtId="0" fontId="97" fillId="41" borderId="216" xfId="47" applyFont="1" applyFill="1" applyBorder="1" applyAlignment="1">
      <alignment horizontal="left" vertical="center" indent="1"/>
    </xf>
    <xf numFmtId="0" fontId="97" fillId="41" borderId="307" xfId="47" applyFont="1" applyFill="1" applyBorder="1" applyAlignment="1">
      <alignment horizontal="left" vertical="center" indent="1"/>
    </xf>
    <xf numFmtId="0" fontId="97" fillId="39" borderId="308" xfId="47" applyFont="1" applyFill="1" applyBorder="1" applyAlignment="1">
      <alignment horizontal="left" vertical="center" indent="1"/>
    </xf>
    <xf numFmtId="0" fontId="97" fillId="39" borderId="218" xfId="47" applyFont="1" applyFill="1" applyBorder="1" applyAlignment="1">
      <alignment horizontal="left" vertical="center" indent="1"/>
    </xf>
    <xf numFmtId="0" fontId="97" fillId="41" borderId="263" xfId="47" applyFont="1" applyFill="1" applyBorder="1" applyAlignment="1">
      <alignment horizontal="left" vertical="center" indent="1"/>
    </xf>
    <xf numFmtId="0" fontId="97" fillId="41" borderId="264" xfId="47" applyFont="1" applyFill="1" applyBorder="1" applyAlignment="1">
      <alignment horizontal="left" vertical="center" indent="1"/>
    </xf>
    <xf numFmtId="0" fontId="97" fillId="25" borderId="24" xfId="47" applyFont="1" applyFill="1" applyBorder="1" applyAlignment="1">
      <alignment horizontal="left" vertical="center" indent="1"/>
    </xf>
    <xf numFmtId="0" fontId="22" fillId="25" borderId="24" xfId="47" applyFont="1" applyFill="1" applyBorder="1" applyAlignment="1">
      <alignment horizontal="left" vertical="center" indent="1"/>
    </xf>
    <xf numFmtId="0" fontId="97" fillId="0" borderId="50" xfId="47" applyFont="1" applyBorder="1" applyAlignment="1">
      <alignment vertical="center"/>
    </xf>
    <xf numFmtId="0" fontId="97" fillId="25" borderId="296" xfId="47" applyFont="1" applyFill="1" applyBorder="1" applyAlignment="1">
      <alignment horizontal="left" vertical="center" indent="1"/>
    </xf>
    <xf numFmtId="0" fontId="97" fillId="2" borderId="2" xfId="47" applyFont="1" applyFill="1" applyBorder="1" applyAlignment="1">
      <alignment horizontal="left" vertical="center" indent="1"/>
    </xf>
    <xf numFmtId="0" fontId="97" fillId="2" borderId="3" xfId="47" applyFont="1" applyFill="1" applyBorder="1" applyAlignment="1">
      <alignment vertical="center"/>
    </xf>
    <xf numFmtId="0" fontId="97" fillId="2" borderId="3" xfId="47" applyFont="1" applyFill="1" applyBorder="1" applyAlignment="1">
      <alignment horizontal="left" vertical="center" indent="1"/>
    </xf>
    <xf numFmtId="0" fontId="97" fillId="2" borderId="62" xfId="47" applyFont="1" applyFill="1" applyBorder="1" applyAlignment="1">
      <alignment vertical="center"/>
    </xf>
    <xf numFmtId="0" fontId="97" fillId="0" borderId="265" xfId="47" applyFont="1" applyBorder="1" applyAlignment="1">
      <alignment vertical="center"/>
    </xf>
    <xf numFmtId="0" fontId="64" fillId="0" borderId="21" xfId="48" applyFont="1" applyBorder="1" applyAlignment="1">
      <alignment horizontal="right" vertical="center" indent="1"/>
    </xf>
    <xf numFmtId="0" fontId="63" fillId="0" borderId="22" xfId="48" applyFont="1" applyBorder="1" applyAlignment="1">
      <alignment horizontal="right" vertical="center" indent="1"/>
    </xf>
    <xf numFmtId="49" fontId="64" fillId="0" borderId="40" xfId="48" applyNumberFormat="1" applyFont="1" applyBorder="1" applyAlignment="1">
      <alignment horizontal="right" vertical="center" indent="1"/>
    </xf>
    <xf numFmtId="0" fontId="64" fillId="0" borderId="335" xfId="48" applyFont="1" applyBorder="1" applyAlignment="1">
      <alignment horizontal="right" vertical="center" indent="1"/>
    </xf>
    <xf numFmtId="0" fontId="64" fillId="0" borderId="389" xfId="48" applyFont="1" applyBorder="1" applyAlignment="1">
      <alignment horizontal="right" vertical="center" indent="1"/>
    </xf>
    <xf numFmtId="0" fontId="63" fillId="0" borderId="39" xfId="48" applyFont="1" applyBorder="1" applyAlignment="1">
      <alignment horizontal="right" vertical="center" indent="1"/>
    </xf>
    <xf numFmtId="0" fontId="63" fillId="0" borderId="40" xfId="48" applyFont="1" applyBorder="1" applyAlignment="1">
      <alignment horizontal="right" vertical="center" indent="1"/>
    </xf>
    <xf numFmtId="0" fontId="64" fillId="0" borderId="302" xfId="48" applyFont="1" applyBorder="1" applyAlignment="1">
      <alignment horizontal="right" vertical="center" indent="1"/>
    </xf>
    <xf numFmtId="0" fontId="64" fillId="0" borderId="39" xfId="48" applyFont="1" applyBorder="1" applyAlignment="1">
      <alignment horizontal="right" vertical="center" indent="1"/>
    </xf>
    <xf numFmtId="0" fontId="64" fillId="0" borderId="40" xfId="48" applyFont="1" applyBorder="1" applyAlignment="1">
      <alignment horizontal="right" vertical="center" indent="1"/>
    </xf>
    <xf numFmtId="0" fontId="64" fillId="0" borderId="4" xfId="48" applyFont="1" applyBorder="1" applyAlignment="1">
      <alignment horizontal="right" vertical="center" indent="1"/>
    </xf>
    <xf numFmtId="165" fontId="15" fillId="10" borderId="77" xfId="0" applyNumberFormat="1" applyFont="1" applyFill="1" applyBorder="1" applyAlignment="1">
      <alignment horizontal="center" vertical="center"/>
    </xf>
    <xf numFmtId="165" fontId="15" fillId="10" borderId="78" xfId="0" applyNumberFormat="1" applyFont="1" applyFill="1" applyBorder="1" applyAlignment="1">
      <alignment horizontal="center" vertical="center"/>
    </xf>
    <xf numFmtId="165" fontId="15" fillId="10" borderId="21" xfId="0" applyNumberFormat="1" applyFont="1" applyFill="1" applyBorder="1" applyAlignment="1">
      <alignment horizontal="center" vertical="center"/>
    </xf>
    <xf numFmtId="165" fontId="15" fillId="10" borderId="22" xfId="0" applyNumberFormat="1" applyFont="1" applyFill="1" applyBorder="1" applyAlignment="1">
      <alignment horizontal="center" vertical="center"/>
    </xf>
    <xf numFmtId="0" fontId="15" fillId="3" borderId="41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3" fontId="22" fillId="4" borderId="22" xfId="0" applyNumberFormat="1" applyFont="1" applyFill="1" applyBorder="1" applyAlignment="1">
      <alignment horizontal="center" vertical="center"/>
    </xf>
    <xf numFmtId="0" fontId="15" fillId="10" borderId="0" xfId="0" applyFont="1" applyFill="1" applyAlignment="1">
      <alignment horizontal="left" vertical="center" indent="1"/>
    </xf>
    <xf numFmtId="0" fontId="39" fillId="2" borderId="119" xfId="0" applyFont="1" applyFill="1" applyBorder="1" applyAlignment="1">
      <alignment horizontal="center" vertical="center"/>
    </xf>
    <xf numFmtId="0" fontId="39" fillId="2" borderId="120" xfId="0" applyFont="1" applyFill="1" applyBorder="1" applyAlignment="1">
      <alignment horizontal="center" vertical="center"/>
    </xf>
    <xf numFmtId="0" fontId="39" fillId="2" borderId="121" xfId="0" applyFont="1" applyFill="1" applyBorder="1" applyAlignment="1">
      <alignment horizontal="center" vertical="center"/>
    </xf>
    <xf numFmtId="0" fontId="39" fillId="2" borderId="122" xfId="0" applyFont="1" applyFill="1" applyBorder="1" applyAlignment="1">
      <alignment horizontal="center" vertical="center"/>
    </xf>
    <xf numFmtId="165" fontId="15" fillId="10" borderId="5" xfId="0" applyNumberFormat="1" applyFont="1" applyFill="1" applyBorder="1" applyAlignment="1">
      <alignment horizontal="center" vertical="center"/>
    </xf>
    <xf numFmtId="165" fontId="15" fillId="10" borderId="75" xfId="0" applyNumberFormat="1" applyFont="1" applyFill="1" applyBorder="1" applyAlignment="1">
      <alignment horizontal="center" vertical="center"/>
    </xf>
    <xf numFmtId="165" fontId="15" fillId="10" borderId="10" xfId="0" applyNumberFormat="1" applyFont="1" applyFill="1" applyBorder="1" applyAlignment="1">
      <alignment horizontal="center" vertical="center"/>
    </xf>
    <xf numFmtId="165" fontId="15" fillId="10" borderId="76" xfId="0" applyNumberFormat="1" applyFont="1" applyFill="1" applyBorder="1" applyAlignment="1">
      <alignment horizontal="center" vertical="center"/>
    </xf>
    <xf numFmtId="3" fontId="18" fillId="3" borderId="2" xfId="0" applyNumberFormat="1" applyFont="1" applyFill="1" applyBorder="1" applyAlignment="1">
      <alignment horizontal="center" vertical="center"/>
    </xf>
    <xf numFmtId="3" fontId="18" fillId="3" borderId="62" xfId="0" applyNumberFormat="1" applyFont="1" applyFill="1" applyBorder="1" applyAlignment="1">
      <alignment horizontal="center" vertical="center"/>
    </xf>
    <xf numFmtId="3" fontId="0" fillId="3" borderId="2" xfId="0" applyNumberFormat="1" applyFont="1" applyFill="1" applyBorder="1" applyAlignment="1">
      <alignment horizontal="center" vertical="center"/>
    </xf>
    <xf numFmtId="3" fontId="0" fillId="3" borderId="62" xfId="0" applyNumberFormat="1" applyFont="1" applyFill="1" applyBorder="1" applyAlignment="1">
      <alignment horizontal="center" vertical="center"/>
    </xf>
    <xf numFmtId="0" fontId="57" fillId="0" borderId="16" xfId="1" applyFont="1" applyBorder="1" applyAlignment="1">
      <alignment horizontal="center" vertical="center"/>
    </xf>
    <xf numFmtId="0" fontId="57" fillId="0" borderId="90" xfId="1" applyFont="1" applyBorder="1" applyAlignment="1">
      <alignment horizontal="center" vertical="center"/>
    </xf>
    <xf numFmtId="0" fontId="57" fillId="0" borderId="38" xfId="1" applyFont="1" applyBorder="1" applyAlignment="1">
      <alignment horizontal="center" vertical="center"/>
    </xf>
    <xf numFmtId="0" fontId="58" fillId="17" borderId="0" xfId="1" applyFont="1" applyFill="1" applyBorder="1" applyAlignment="1">
      <alignment horizontal="center" vertical="center" textRotation="90"/>
    </xf>
    <xf numFmtId="0" fontId="58" fillId="17" borderId="36" xfId="1" applyFont="1" applyFill="1" applyBorder="1" applyAlignment="1">
      <alignment horizontal="center" vertical="center" textRotation="90"/>
    </xf>
    <xf numFmtId="0" fontId="58" fillId="17" borderId="8" xfId="1" applyFont="1" applyFill="1" applyBorder="1" applyAlignment="1">
      <alignment horizontal="center" vertical="center" textRotation="90"/>
    </xf>
    <xf numFmtId="0" fontId="38" fillId="16" borderId="227" xfId="1" applyFont="1" applyFill="1" applyBorder="1" applyAlignment="1">
      <alignment vertical="center" textRotation="180"/>
    </xf>
    <xf numFmtId="0" fontId="60" fillId="17" borderId="15" xfId="1" applyFont="1" applyFill="1" applyBorder="1" applyAlignment="1">
      <alignment horizontal="center" vertical="top"/>
    </xf>
    <xf numFmtId="2" fontId="97" fillId="20" borderId="12" xfId="47" applyNumberFormat="1" applyFont="1" applyFill="1" applyBorder="1" applyAlignment="1">
      <alignment horizontal="center" vertical="center"/>
    </xf>
    <xf numFmtId="0" fontId="97" fillId="2" borderId="258" xfId="47" applyFont="1" applyFill="1" applyBorder="1" applyAlignment="1">
      <alignment horizontal="center" vertical="center"/>
    </xf>
    <xf numFmtId="0" fontId="97" fillId="2" borderId="259" xfId="47" applyFont="1" applyFill="1" applyBorder="1" applyAlignment="1">
      <alignment horizontal="center" vertical="center"/>
    </xf>
    <xf numFmtId="2" fontId="32" fillId="2" borderId="22" xfId="47" applyNumberFormat="1" applyFont="1" applyFill="1" applyBorder="1" applyAlignment="1">
      <alignment horizontal="center" vertical="center"/>
    </xf>
    <xf numFmtId="3" fontId="18" fillId="20" borderId="22" xfId="47" applyNumberFormat="1" applyFont="1" applyFill="1" applyBorder="1" applyAlignment="1">
      <alignment horizontal="center" vertical="center"/>
    </xf>
    <xf numFmtId="3" fontId="18" fillId="20" borderId="4" xfId="47" applyNumberFormat="1" applyFont="1" applyFill="1" applyBorder="1" applyAlignment="1">
      <alignment horizontal="center" vertical="center"/>
    </xf>
    <xf numFmtId="3" fontId="97" fillId="20" borderId="12" xfId="47" applyNumberFormat="1" applyFont="1" applyFill="1" applyBorder="1" applyAlignment="1">
      <alignment horizontal="center" vertical="center"/>
    </xf>
    <xf numFmtId="0" fontId="97" fillId="20" borderId="12" xfId="47" applyFont="1" applyFill="1" applyBorder="1" applyAlignment="1">
      <alignment horizontal="center" vertical="center"/>
    </xf>
    <xf numFmtId="3" fontId="97" fillId="20" borderId="15" xfId="47" applyNumberFormat="1" applyFont="1" applyFill="1" applyBorder="1" applyAlignment="1">
      <alignment horizontal="center" vertical="center"/>
    </xf>
    <xf numFmtId="3" fontId="97" fillId="20" borderId="26" xfId="47" applyNumberFormat="1" applyFont="1" applyFill="1" applyBorder="1" applyAlignment="1">
      <alignment horizontal="center" vertical="center"/>
    </xf>
    <xf numFmtId="3" fontId="97" fillId="20" borderId="290" xfId="47" applyNumberFormat="1" applyFont="1" applyFill="1" applyBorder="1" applyAlignment="1">
      <alignment horizontal="center" vertical="center"/>
    </xf>
    <xf numFmtId="0" fontId="97" fillId="20" borderId="290" xfId="47" applyFont="1" applyFill="1" applyBorder="1" applyAlignment="1">
      <alignment horizontal="center" vertical="center"/>
    </xf>
    <xf numFmtId="3" fontId="97" fillId="20" borderId="2" xfId="47" applyNumberFormat="1" applyFont="1" applyFill="1" applyBorder="1" applyAlignment="1">
      <alignment horizontal="right" vertical="center" indent="1"/>
    </xf>
    <xf numFmtId="3" fontId="97" fillId="20" borderId="3" xfId="47" applyNumberFormat="1" applyFont="1" applyFill="1" applyBorder="1" applyAlignment="1">
      <alignment horizontal="right" vertical="center" indent="1"/>
    </xf>
    <xf numFmtId="3" fontId="97" fillId="20" borderId="62" xfId="47" applyNumberFormat="1" applyFont="1" applyFill="1" applyBorder="1" applyAlignment="1">
      <alignment horizontal="right" vertical="center" indent="1"/>
    </xf>
    <xf numFmtId="0" fontId="97" fillId="2" borderId="263" xfId="47" applyFont="1" applyFill="1" applyBorder="1" applyAlignment="1">
      <alignment horizontal="center" vertical="center"/>
    </xf>
    <xf numFmtId="0" fontId="97" fillId="2" borderId="264" xfId="47" applyFont="1" applyFill="1" applyBorder="1" applyAlignment="1">
      <alignment horizontal="center" vertical="center"/>
    </xf>
    <xf numFmtId="0" fontId="22" fillId="38" borderId="1" xfId="47" applyFont="1" applyFill="1" applyBorder="1" applyAlignment="1">
      <alignment horizontal="center" vertical="center"/>
    </xf>
    <xf numFmtId="0" fontId="22" fillId="37" borderId="1" xfId="47" applyFont="1" applyFill="1" applyBorder="1" applyAlignment="1">
      <alignment horizontal="center" vertical="center"/>
    </xf>
    <xf numFmtId="0" fontId="22" fillId="41" borderId="1" xfId="47" applyFont="1" applyFill="1" applyBorder="1" applyAlignment="1">
      <alignment horizontal="center" vertical="center"/>
    </xf>
    <xf numFmtId="0" fontId="22" fillId="39" borderId="1" xfId="47" applyFont="1" applyFill="1" applyBorder="1" applyAlignment="1">
      <alignment horizontal="center" vertical="center"/>
    </xf>
    <xf numFmtId="2" fontId="32" fillId="2" borderId="15" xfId="47" applyNumberFormat="1" applyFont="1" applyFill="1" applyBorder="1" applyAlignment="1">
      <alignment horizontal="center" vertical="center"/>
    </xf>
    <xf numFmtId="3" fontId="97" fillId="20" borderId="31" xfId="47" applyNumberFormat="1" applyFont="1" applyFill="1" applyBorder="1" applyAlignment="1">
      <alignment horizontal="right" vertical="center" indent="1"/>
    </xf>
    <xf numFmtId="0" fontId="97" fillId="20" borderId="31" xfId="47" applyFont="1" applyFill="1" applyBorder="1" applyAlignment="1">
      <alignment horizontal="right" vertical="center" indent="1"/>
    </xf>
    <xf numFmtId="0" fontId="97" fillId="20" borderId="388" xfId="47" applyFont="1" applyFill="1" applyBorder="1" applyAlignment="1">
      <alignment horizontal="right" vertical="center" indent="1"/>
    </xf>
    <xf numFmtId="0" fontId="97" fillId="20" borderId="2" xfId="47" applyFont="1" applyFill="1" applyBorder="1" applyAlignment="1">
      <alignment horizontal="right" vertical="center" indent="1"/>
    </xf>
    <xf numFmtId="0" fontId="97" fillId="20" borderId="3" xfId="47" applyFont="1" applyFill="1" applyBorder="1" applyAlignment="1">
      <alignment horizontal="right" vertical="center" indent="1"/>
    </xf>
    <xf numFmtId="0" fontId="97" fillId="20" borderId="62" xfId="47" applyFont="1" applyFill="1" applyBorder="1" applyAlignment="1">
      <alignment horizontal="right" vertical="center" indent="1"/>
    </xf>
    <xf numFmtId="0" fontId="97" fillId="39" borderId="260" xfId="47" applyFont="1" applyFill="1" applyBorder="1" applyAlignment="1">
      <alignment horizontal="left" vertical="center"/>
    </xf>
    <xf numFmtId="0" fontId="97" fillId="39" borderId="32" xfId="47" applyFont="1" applyFill="1" applyBorder="1" applyAlignment="1">
      <alignment horizontal="left" vertical="center"/>
    </xf>
    <xf numFmtId="3" fontId="97" fillId="20" borderId="1" xfId="47" applyNumberFormat="1" applyFont="1" applyFill="1" applyBorder="1" applyAlignment="1">
      <alignment horizontal="center" vertical="center"/>
    </xf>
    <xf numFmtId="0" fontId="97" fillId="20" borderId="1" xfId="47" applyFont="1" applyFill="1" applyBorder="1" applyAlignment="1">
      <alignment horizontal="center" vertical="center"/>
    </xf>
    <xf numFmtId="0" fontId="97" fillId="20" borderId="380" xfId="47" applyFont="1" applyFill="1" applyBorder="1" applyAlignment="1">
      <alignment horizontal="center" vertical="center"/>
    </xf>
    <xf numFmtId="3" fontId="97" fillId="20" borderId="2" xfId="47" applyNumberFormat="1" applyFont="1" applyFill="1" applyBorder="1" applyAlignment="1">
      <alignment horizontal="center" vertical="center"/>
    </xf>
    <xf numFmtId="0" fontId="97" fillId="20" borderId="3" xfId="47" applyFont="1" applyFill="1" applyBorder="1" applyAlignment="1">
      <alignment horizontal="center" vertical="center"/>
    </xf>
    <xf numFmtId="0" fontId="97" fillId="20" borderId="379" xfId="47" applyFont="1" applyFill="1" applyBorder="1" applyAlignment="1">
      <alignment horizontal="center" vertical="center"/>
    </xf>
    <xf numFmtId="3" fontId="97" fillId="20" borderId="1" xfId="47" applyNumberFormat="1" applyFont="1" applyFill="1" applyBorder="1" applyAlignment="1">
      <alignment horizontal="right" vertical="center" indent="1"/>
    </xf>
    <xf numFmtId="0" fontId="97" fillId="20" borderId="1" xfId="47" applyFont="1" applyFill="1" applyBorder="1" applyAlignment="1">
      <alignment horizontal="right" vertical="center" indent="1"/>
    </xf>
    <xf numFmtId="0" fontId="97" fillId="20" borderId="380" xfId="47" applyFont="1" applyFill="1" applyBorder="1" applyAlignment="1">
      <alignment horizontal="right" vertical="center" indent="1"/>
    </xf>
    <xf numFmtId="0" fontId="97" fillId="2" borderId="2" xfId="47" applyFont="1" applyFill="1" applyBorder="1" applyAlignment="1">
      <alignment horizontal="center" vertical="center"/>
    </xf>
    <xf numFmtId="0" fontId="97" fillId="2" borderId="62" xfId="47" applyFont="1" applyFill="1" applyBorder="1" applyAlignment="1">
      <alignment horizontal="center" vertical="center"/>
    </xf>
    <xf numFmtId="0" fontId="97" fillId="40" borderId="54" xfId="47" applyFont="1" applyFill="1" applyBorder="1" applyAlignment="1">
      <alignment horizontal="center" vertical="center"/>
    </xf>
    <xf numFmtId="3" fontId="18" fillId="20" borderId="54" xfId="47" applyNumberFormat="1" applyFont="1" applyFill="1" applyBorder="1" applyAlignment="1">
      <alignment horizontal="center" vertical="center"/>
    </xf>
    <xf numFmtId="3" fontId="18" fillId="20" borderId="358" xfId="47" applyNumberFormat="1" applyFont="1" applyFill="1" applyBorder="1" applyAlignment="1">
      <alignment horizontal="center" vertical="center"/>
    </xf>
    <xf numFmtId="3" fontId="22" fillId="2" borderId="29" xfId="47" applyNumberFormat="1" applyFont="1" applyFill="1" applyBorder="1" applyAlignment="1">
      <alignment horizontal="center" vertical="center"/>
    </xf>
    <xf numFmtId="3" fontId="22" fillId="2" borderId="128" xfId="47" applyNumberFormat="1" applyFont="1" applyFill="1" applyBorder="1" applyAlignment="1">
      <alignment horizontal="center" vertical="center"/>
    </xf>
    <xf numFmtId="3" fontId="97" fillId="20" borderId="379" xfId="47" applyNumberFormat="1" applyFont="1" applyFill="1" applyBorder="1" applyAlignment="1">
      <alignment horizontal="center" vertical="center"/>
    </xf>
    <xf numFmtId="0" fontId="22" fillId="25" borderId="384" xfId="47" applyFont="1" applyFill="1" applyBorder="1" applyAlignment="1">
      <alignment horizontal="center" vertical="center" textRotation="90"/>
    </xf>
    <xf numFmtId="0" fontId="97" fillId="40" borderId="29" xfId="47" applyFont="1" applyFill="1" applyBorder="1" applyAlignment="1">
      <alignment horizontal="center" vertical="center"/>
    </xf>
    <xf numFmtId="0" fontId="22" fillId="0" borderId="382" xfId="47" applyFont="1" applyBorder="1" applyAlignment="1">
      <alignment horizontal="center" vertical="center"/>
    </xf>
    <xf numFmtId="0" fontId="16" fillId="0" borderId="382" xfId="47" applyFont="1" applyBorder="1" applyAlignment="1">
      <alignment horizontal="center" vertical="center"/>
    </xf>
    <xf numFmtId="0" fontId="16" fillId="0" borderId="383" xfId="47" applyFont="1" applyBorder="1" applyAlignment="1">
      <alignment horizontal="center" vertical="center"/>
    </xf>
    <xf numFmtId="0" fontId="97" fillId="0" borderId="31" xfId="47" applyFont="1" applyBorder="1" applyAlignment="1">
      <alignment horizontal="center" vertical="center" textRotation="90"/>
    </xf>
    <xf numFmtId="0" fontId="97" fillId="0" borderId="137" xfId="47" applyFont="1" applyBorder="1" applyAlignment="1">
      <alignment horizontal="center" vertical="center" textRotation="90"/>
    </xf>
    <xf numFmtId="0" fontId="97" fillId="3" borderId="31" xfId="47" applyFont="1" applyFill="1" applyBorder="1" applyAlignment="1">
      <alignment horizontal="center" vertical="center"/>
    </xf>
    <xf numFmtId="4" fontId="97" fillId="20" borderId="73" xfId="47" applyNumberFormat="1" applyFont="1" applyFill="1" applyBorder="1" applyAlignment="1">
      <alignment horizontal="right" vertical="center" indent="1"/>
    </xf>
    <xf numFmtId="4" fontId="97" fillId="20" borderId="74" xfId="47" applyNumberFormat="1" applyFont="1" applyFill="1" applyBorder="1" applyAlignment="1">
      <alignment horizontal="right" vertical="center" indent="1"/>
    </xf>
    <xf numFmtId="3" fontId="97" fillId="20" borderId="15" xfId="47" applyNumberFormat="1" applyFont="1" applyFill="1" applyBorder="1" applyAlignment="1">
      <alignment horizontal="right" vertical="center" indent="1"/>
    </xf>
    <xf numFmtId="3" fontId="97" fillId="20" borderId="26" xfId="47" applyNumberFormat="1" applyFont="1" applyFill="1" applyBorder="1" applyAlignment="1">
      <alignment horizontal="right" vertical="center" indent="1"/>
    </xf>
    <xf numFmtId="3" fontId="97" fillId="20" borderId="57" xfId="47" applyNumberFormat="1" applyFont="1" applyFill="1" applyBorder="1" applyAlignment="1">
      <alignment horizontal="right" vertical="center" indent="1"/>
    </xf>
    <xf numFmtId="3" fontId="97" fillId="20" borderId="66" xfId="47" applyNumberFormat="1" applyFont="1" applyFill="1" applyBorder="1" applyAlignment="1">
      <alignment horizontal="right" vertical="center" indent="1"/>
    </xf>
    <xf numFmtId="49" fontId="29" fillId="26" borderId="266" xfId="47" applyNumberFormat="1" applyFont="1" applyFill="1" applyBorder="1" applyAlignment="1">
      <alignment horizontal="center" vertical="center"/>
    </xf>
    <xf numFmtId="49" fontId="29" fillId="26" borderId="23" xfId="47" applyNumberFormat="1" applyFont="1" applyFill="1" applyBorder="1" applyAlignment="1">
      <alignment horizontal="center" vertical="center"/>
    </xf>
    <xf numFmtId="3" fontId="18" fillId="20" borderId="33" xfId="47" applyNumberFormat="1" applyFont="1" applyFill="1" applyBorder="1" applyAlignment="1">
      <alignment horizontal="right" vertical="center" indent="1"/>
    </xf>
    <xf numFmtId="3" fontId="18" fillId="20" borderId="52" xfId="47" applyNumberFormat="1" applyFont="1" applyFill="1" applyBorder="1" applyAlignment="1">
      <alignment horizontal="right" vertical="center" indent="1"/>
    </xf>
    <xf numFmtId="3" fontId="18" fillId="20" borderId="367" xfId="47" applyNumberFormat="1" applyFont="1" applyFill="1" applyBorder="1" applyAlignment="1">
      <alignment horizontal="right" vertical="center" indent="1"/>
    </xf>
    <xf numFmtId="3" fontId="97" fillId="20" borderId="54" xfId="47" applyNumberFormat="1" applyFont="1" applyFill="1" applyBorder="1" applyAlignment="1">
      <alignment horizontal="right" vertical="center" indent="1"/>
    </xf>
    <xf numFmtId="3" fontId="97" fillId="20" borderId="358" xfId="47" applyNumberFormat="1" applyFont="1" applyFill="1" applyBorder="1" applyAlignment="1">
      <alignment horizontal="right" vertical="center" indent="1"/>
    </xf>
    <xf numFmtId="3" fontId="97" fillId="20" borderId="35" xfId="47" applyNumberFormat="1" applyFont="1" applyFill="1" applyBorder="1" applyAlignment="1">
      <alignment horizontal="right" vertical="center" indent="1"/>
    </xf>
    <xf numFmtId="3" fontId="97" fillId="20" borderId="42" xfId="47" applyNumberFormat="1" applyFont="1" applyFill="1" applyBorder="1" applyAlignment="1">
      <alignment horizontal="right" vertical="center" indent="1"/>
    </xf>
    <xf numFmtId="49" fontId="32" fillId="31" borderId="5" xfId="47" applyNumberFormat="1" applyFont="1" applyFill="1" applyBorder="1" applyAlignment="1">
      <alignment horizontal="center" vertical="center"/>
    </xf>
    <xf numFmtId="49" fontId="32" fillId="31" borderId="50" xfId="47" applyNumberFormat="1" applyFont="1" applyFill="1" applyBorder="1" applyAlignment="1">
      <alignment horizontal="center" vertical="center"/>
    </xf>
    <xf numFmtId="49" fontId="32" fillId="31" borderId="10" xfId="47" applyNumberFormat="1" applyFont="1" applyFill="1" applyBorder="1" applyAlignment="1">
      <alignment horizontal="center" vertical="center"/>
    </xf>
    <xf numFmtId="49" fontId="32" fillId="31" borderId="265" xfId="47" applyNumberFormat="1" applyFont="1" applyFill="1" applyBorder="1" applyAlignment="1">
      <alignment horizontal="center" vertical="center"/>
    </xf>
    <xf numFmtId="49" fontId="29" fillId="26" borderId="68" xfId="47" applyNumberFormat="1" applyFont="1" applyFill="1" applyBorder="1" applyAlignment="1">
      <alignment horizontal="center" vertical="center"/>
    </xf>
    <xf numFmtId="49" fontId="29" fillId="26" borderId="359" xfId="47" applyNumberFormat="1" applyFont="1" applyFill="1" applyBorder="1" applyAlignment="1">
      <alignment horizontal="center" vertical="center"/>
    </xf>
    <xf numFmtId="49" fontId="29" fillId="26" borderId="144" xfId="47" applyNumberFormat="1" applyFont="1" applyFill="1" applyBorder="1" applyAlignment="1">
      <alignment horizontal="center" vertical="center"/>
    </xf>
    <xf numFmtId="0" fontId="42" fillId="28" borderId="353" xfId="47" applyFont="1" applyFill="1" applyBorder="1" applyAlignment="1">
      <alignment horizontal="center" vertical="center" textRotation="90"/>
    </xf>
    <xf numFmtId="0" fontId="42" fillId="28" borderId="209" xfId="47" applyFont="1" applyFill="1" applyBorder="1" applyAlignment="1">
      <alignment horizontal="center" vertical="center" textRotation="90"/>
    </xf>
    <xf numFmtId="0" fontId="42" fillId="28" borderId="362" xfId="47" applyFont="1" applyFill="1" applyBorder="1" applyAlignment="1">
      <alignment horizontal="center" vertical="center" textRotation="90"/>
    </xf>
    <xf numFmtId="49" fontId="29" fillId="26" borderId="67" xfId="47" applyNumberFormat="1" applyFont="1" applyFill="1" applyBorder="1" applyAlignment="1">
      <alignment horizontal="center" vertical="center"/>
    </xf>
    <xf numFmtId="49" fontId="29" fillId="26" borderId="354" xfId="47" applyNumberFormat="1" applyFont="1" applyFill="1" applyBorder="1" applyAlignment="1">
      <alignment horizontal="center" vertical="center"/>
    </xf>
    <xf numFmtId="49" fontId="29" fillId="26" borderId="90" xfId="47" applyNumberFormat="1" applyFont="1" applyFill="1" applyBorder="1" applyAlignment="1">
      <alignment horizontal="center" vertical="center"/>
    </xf>
    <xf numFmtId="0" fontId="42" fillId="28" borderId="91" xfId="47" applyFont="1" applyFill="1" applyBorder="1" applyAlignment="1">
      <alignment horizontal="center" vertical="center" textRotation="90"/>
    </xf>
    <xf numFmtId="0" fontId="42" fillId="28" borderId="0" xfId="47" applyFont="1" applyFill="1" applyBorder="1" applyAlignment="1">
      <alignment horizontal="center" vertical="center" textRotation="90"/>
    </xf>
    <xf numFmtId="3" fontId="24" fillId="2" borderId="51" xfId="47" applyNumberFormat="1" applyFont="1" applyFill="1" applyBorder="1" applyAlignment="1">
      <alignment horizontal="right" vertical="center" indent="1"/>
    </xf>
    <xf numFmtId="3" fontId="24" fillId="2" borderId="20" xfId="47" applyNumberFormat="1" applyFont="1" applyFill="1" applyBorder="1" applyAlignment="1">
      <alignment horizontal="right" vertical="center" indent="1"/>
    </xf>
    <xf numFmtId="49" fontId="29" fillId="26" borderId="347" xfId="47" applyNumberFormat="1" applyFont="1" applyFill="1" applyBorder="1" applyAlignment="1">
      <alignment horizontal="center" vertical="center"/>
    </xf>
    <xf numFmtId="49" fontId="29" fillId="26" borderId="348" xfId="47" applyNumberFormat="1" applyFont="1" applyFill="1" applyBorder="1" applyAlignment="1">
      <alignment horizontal="center" vertical="center"/>
    </xf>
    <xf numFmtId="49" fontId="29" fillId="26" borderId="143" xfId="47" applyNumberFormat="1" applyFont="1" applyFill="1" applyBorder="1" applyAlignment="1">
      <alignment horizontal="center" vertical="center"/>
    </xf>
    <xf numFmtId="3" fontId="24" fillId="2" borderId="22" xfId="47" applyNumberFormat="1" applyFont="1" applyFill="1" applyBorder="1" applyAlignment="1">
      <alignment horizontal="right" vertical="center" indent="1"/>
    </xf>
    <xf numFmtId="3" fontId="24" fillId="2" borderId="4" xfId="47" applyNumberFormat="1" applyFont="1" applyFill="1" applyBorder="1" applyAlignment="1">
      <alignment horizontal="right" vertical="center" indent="1"/>
    </xf>
    <xf numFmtId="3" fontId="24" fillId="2" borderId="15" xfId="47" applyNumberFormat="1" applyFont="1" applyFill="1" applyBorder="1" applyAlignment="1">
      <alignment horizontal="right" vertical="center" indent="1"/>
    </xf>
    <xf numFmtId="3" fontId="24" fillId="2" borderId="26" xfId="47" applyNumberFormat="1" applyFont="1" applyFill="1" applyBorder="1" applyAlignment="1">
      <alignment horizontal="right" vertical="center" indent="1"/>
    </xf>
    <xf numFmtId="0" fontId="36" fillId="25" borderId="207" xfId="47" applyFont="1" applyFill="1" applyBorder="1" applyAlignment="1">
      <alignment horizontal="center" vertical="center" textRotation="90"/>
    </xf>
    <xf numFmtId="0" fontId="36" fillId="25" borderId="209" xfId="47" applyFont="1" applyFill="1" applyBorder="1" applyAlignment="1">
      <alignment horizontal="center" vertical="center" textRotation="90"/>
    </xf>
    <xf numFmtId="0" fontId="36" fillId="25" borderId="0" xfId="47" applyFont="1" applyFill="1" applyBorder="1" applyAlignment="1">
      <alignment horizontal="center" vertical="center" textRotation="90"/>
    </xf>
    <xf numFmtId="0" fontId="36" fillId="25" borderId="307" xfId="47" applyFont="1" applyFill="1" applyBorder="1" applyAlignment="1">
      <alignment horizontal="center" vertical="center" textRotation="90"/>
    </xf>
    <xf numFmtId="0" fontId="16" fillId="0" borderId="319" xfId="47" applyFont="1" applyBorder="1" applyAlignment="1">
      <alignment horizontal="center" vertical="center"/>
    </xf>
    <xf numFmtId="0" fontId="16" fillId="0" borderId="149" xfId="47" applyFont="1" applyBorder="1" applyAlignment="1">
      <alignment horizontal="center" vertical="center"/>
    </xf>
    <xf numFmtId="3" fontId="24" fillId="2" borderId="78" xfId="47" applyNumberFormat="1" applyFont="1" applyFill="1" applyBorder="1" applyAlignment="1">
      <alignment horizontal="right" vertical="center" indent="1"/>
    </xf>
    <xf numFmtId="3" fontId="24" fillId="2" borderId="79" xfId="47" applyNumberFormat="1" applyFont="1" applyFill="1" applyBorder="1" applyAlignment="1">
      <alignment horizontal="right" vertical="center" indent="1"/>
    </xf>
    <xf numFmtId="0" fontId="42" fillId="24" borderId="0" xfId="47" applyFont="1" applyFill="1" applyBorder="1" applyAlignment="1">
      <alignment horizontal="center" vertical="center" textRotation="90"/>
    </xf>
    <xf numFmtId="0" fontId="42" fillId="24" borderId="307" xfId="47" applyFont="1" applyFill="1" applyBorder="1" applyAlignment="1">
      <alignment horizontal="center" vertical="center" textRotation="90"/>
    </xf>
    <xf numFmtId="3" fontId="24" fillId="2" borderId="301" xfId="47" applyNumberFormat="1" applyFont="1" applyFill="1" applyBorder="1" applyAlignment="1">
      <alignment horizontal="center" vertical="center"/>
    </xf>
    <xf numFmtId="3" fontId="24" fillId="2" borderId="23" xfId="47" applyNumberFormat="1" applyFont="1" applyFill="1" applyBorder="1" applyAlignment="1">
      <alignment horizontal="center" vertical="center"/>
    </xf>
    <xf numFmtId="2" fontId="36" fillId="2" borderId="302" xfId="47" applyNumberFormat="1" applyFont="1" applyFill="1" applyBorder="1" applyAlignment="1">
      <alignment horizontal="center" vertical="center"/>
    </xf>
    <xf numFmtId="2" fontId="36" fillId="2" borderId="303" xfId="47" applyNumberFormat="1" applyFont="1" applyFill="1" applyBorder="1" applyAlignment="1">
      <alignment horizontal="center" vertical="center"/>
    </xf>
    <xf numFmtId="2" fontId="24" fillId="2" borderId="12" xfId="47" applyNumberFormat="1" applyFont="1" applyFill="1" applyBorder="1" applyAlignment="1">
      <alignment horizontal="center" vertical="center"/>
    </xf>
    <xf numFmtId="2" fontId="24" fillId="2" borderId="13" xfId="47" applyNumberFormat="1" applyFont="1" applyFill="1" applyBorder="1" applyAlignment="1">
      <alignment horizontal="center" vertical="center"/>
    </xf>
    <xf numFmtId="2" fontId="36" fillId="2" borderId="12" xfId="47" applyNumberFormat="1" applyFont="1" applyFill="1" applyBorder="1" applyAlignment="1">
      <alignment horizontal="center" vertical="center"/>
    </xf>
    <xf numFmtId="2" fontId="36" fillId="2" borderId="13" xfId="47" applyNumberFormat="1" applyFont="1" applyFill="1" applyBorder="1" applyAlignment="1">
      <alignment horizontal="center" vertical="center"/>
    </xf>
    <xf numFmtId="0" fontId="24" fillId="2" borderId="12" xfId="47" applyFont="1" applyFill="1" applyBorder="1" applyAlignment="1">
      <alignment horizontal="center" vertical="center"/>
    </xf>
    <xf numFmtId="0" fontId="24" fillId="2" borderId="13" xfId="47" applyFont="1" applyFill="1" applyBorder="1" applyAlignment="1">
      <alignment horizontal="center" vertical="center"/>
    </xf>
    <xf numFmtId="0" fontId="97" fillId="0" borderId="1" xfId="47" applyFont="1" applyBorder="1" applyAlignment="1">
      <alignment horizontal="center" vertical="center" textRotation="90"/>
    </xf>
    <xf numFmtId="0" fontId="97" fillId="0" borderId="2" xfId="47" applyFont="1" applyBorder="1" applyAlignment="1">
      <alignment horizontal="center" vertical="center" textRotation="90"/>
    </xf>
    <xf numFmtId="0" fontId="97" fillId="24" borderId="136" xfId="47" applyFont="1" applyFill="1" applyBorder="1" applyAlignment="1">
      <alignment horizontal="center" vertical="center" textRotation="90"/>
    </xf>
    <xf numFmtId="0" fontId="97" fillId="24" borderId="315" xfId="47" applyFont="1" applyFill="1" applyBorder="1" applyAlignment="1">
      <alignment horizontal="center" vertical="center" textRotation="90"/>
    </xf>
    <xf numFmtId="0" fontId="97" fillId="24" borderId="0" xfId="47" applyFont="1" applyFill="1" applyBorder="1" applyAlignment="1">
      <alignment horizontal="center" vertical="center" textRotation="90"/>
    </xf>
    <xf numFmtId="0" fontId="97" fillId="24" borderId="307" xfId="47" applyFont="1" applyFill="1" applyBorder="1" applyAlignment="1">
      <alignment horizontal="center" vertical="center" textRotation="90"/>
    </xf>
    <xf numFmtId="0" fontId="97" fillId="24" borderId="8" xfId="47" applyFont="1" applyFill="1" applyBorder="1" applyAlignment="1">
      <alignment horizontal="center" vertical="center" textRotation="90"/>
    </xf>
    <xf numFmtId="0" fontId="97" fillId="24" borderId="313" xfId="47" applyFont="1" applyFill="1" applyBorder="1" applyAlignment="1">
      <alignment horizontal="center" vertical="center" textRotation="90"/>
    </xf>
    <xf numFmtId="0" fontId="97" fillId="24" borderId="36" xfId="47" applyFont="1" applyFill="1" applyBorder="1" applyAlignment="1">
      <alignment horizontal="center" vertical="center" textRotation="90"/>
    </xf>
    <xf numFmtId="0" fontId="97" fillId="24" borderId="314" xfId="47" applyFont="1" applyFill="1" applyBorder="1" applyAlignment="1">
      <alignment horizontal="center" vertical="center" textRotation="90"/>
    </xf>
    <xf numFmtId="0" fontId="97" fillId="20" borderId="62" xfId="47" applyFont="1" applyFill="1" applyBorder="1" applyAlignment="1">
      <alignment horizontal="center" vertical="center"/>
    </xf>
    <xf numFmtId="3" fontId="24" fillId="2" borderId="298" xfId="47" applyNumberFormat="1" applyFont="1" applyFill="1" applyBorder="1" applyAlignment="1">
      <alignment horizontal="center" vertical="center"/>
    </xf>
    <xf numFmtId="3" fontId="24" fillId="2" borderId="299" xfId="47" applyNumberFormat="1" applyFont="1" applyFill="1" applyBorder="1" applyAlignment="1">
      <alignment horizontal="center" vertical="center"/>
    </xf>
    <xf numFmtId="3" fontId="24" fillId="2" borderId="300" xfId="47" applyNumberFormat="1" applyFont="1" applyFill="1" applyBorder="1" applyAlignment="1">
      <alignment horizontal="center" vertical="center"/>
    </xf>
    <xf numFmtId="2" fontId="24" fillId="2" borderId="1" xfId="47" applyNumberFormat="1" applyFont="1" applyFill="1" applyBorder="1" applyAlignment="1">
      <alignment horizontal="center" vertical="center"/>
    </xf>
    <xf numFmtId="2" fontId="24" fillId="2" borderId="9" xfId="47" applyNumberFormat="1" applyFont="1" applyFill="1" applyBorder="1" applyAlignment="1">
      <alignment horizontal="center" vertical="center"/>
    </xf>
    <xf numFmtId="4" fontId="36" fillId="2" borderId="1" xfId="47" applyNumberFormat="1" applyFont="1" applyFill="1" applyBorder="1" applyAlignment="1">
      <alignment horizontal="center" vertical="center"/>
    </xf>
    <xf numFmtId="4" fontId="36" fillId="2" borderId="9" xfId="47" applyNumberFormat="1" applyFont="1" applyFill="1" applyBorder="1" applyAlignment="1">
      <alignment horizontal="center" vertical="center"/>
    </xf>
    <xf numFmtId="0" fontId="24" fillId="2" borderId="1" xfId="47" applyFont="1" applyFill="1" applyBorder="1" applyAlignment="1">
      <alignment horizontal="center" vertical="center"/>
    </xf>
    <xf numFmtId="0" fontId="24" fillId="2" borderId="9" xfId="47" applyFont="1" applyFill="1" applyBorder="1" applyAlignment="1">
      <alignment horizontal="center" vertical="center"/>
    </xf>
    <xf numFmtId="0" fontId="104" fillId="0" borderId="290" xfId="48" applyFont="1" applyBorder="1" applyAlignment="1">
      <alignment horizontal="left" textRotation="90" wrapText="1"/>
    </xf>
    <xf numFmtId="0" fontId="104" fillId="0" borderId="1" xfId="48" applyFont="1" applyBorder="1" applyAlignment="1">
      <alignment horizontal="left" textRotation="90" wrapText="1"/>
    </xf>
    <xf numFmtId="0" fontId="104" fillId="0" borderId="31" xfId="48" applyFont="1" applyBorder="1" applyAlignment="1">
      <alignment horizontal="left" textRotation="90" wrapText="1"/>
    </xf>
    <xf numFmtId="0" fontId="104" fillId="0" borderId="7" xfId="48" applyFont="1" applyBorder="1" applyAlignment="1">
      <alignment horizontal="left" textRotation="90" wrapText="1"/>
    </xf>
    <xf numFmtId="0" fontId="104" fillId="0" borderId="9" xfId="48" applyFont="1" applyBorder="1" applyAlignment="1">
      <alignment horizontal="left" textRotation="90" wrapText="1"/>
    </xf>
    <xf numFmtId="0" fontId="104" fillId="0" borderId="306" xfId="48" applyFont="1" applyBorder="1" applyAlignment="1">
      <alignment horizontal="left" textRotation="90" wrapText="1"/>
    </xf>
    <xf numFmtId="3" fontId="24" fillId="2" borderId="2" xfId="47" applyNumberFormat="1" applyFont="1" applyFill="1" applyBorder="1" applyAlignment="1">
      <alignment horizontal="center" vertical="center"/>
    </xf>
    <xf numFmtId="3" fontId="24" fillId="2" borderId="292" xfId="47" applyNumberFormat="1" applyFont="1" applyFill="1" applyBorder="1" applyAlignment="1">
      <alignment horizontal="center" vertical="center"/>
    </xf>
    <xf numFmtId="3" fontId="24" fillId="2" borderId="3" xfId="47" applyNumberFormat="1" applyFont="1" applyFill="1" applyBorder="1" applyAlignment="1">
      <alignment horizontal="center" vertical="center"/>
    </xf>
    <xf numFmtId="0" fontId="97" fillId="20" borderId="294" xfId="47" applyFont="1" applyFill="1" applyBorder="1" applyAlignment="1">
      <alignment horizontal="center" vertical="center"/>
    </xf>
    <xf numFmtId="0" fontId="104" fillId="0" borderId="109" xfId="48" applyFont="1" applyBorder="1" applyAlignment="1">
      <alignment horizontal="left" textRotation="90" wrapText="1"/>
    </xf>
    <xf numFmtId="0" fontId="104" fillId="0" borderId="296" xfId="48" applyFont="1" applyBorder="1" applyAlignment="1">
      <alignment horizontal="left" textRotation="90" wrapText="1"/>
    </xf>
    <xf numFmtId="4" fontId="36" fillId="2" borderId="286" xfId="47" applyNumberFormat="1" applyFont="1" applyFill="1" applyBorder="1" applyAlignment="1">
      <alignment horizontal="center" vertical="center"/>
    </xf>
    <xf numFmtId="4" fontId="36" fillId="2" borderId="85" xfId="47" applyNumberFormat="1" applyFont="1" applyFill="1" applyBorder="1" applyAlignment="1">
      <alignment horizontal="center" vertical="center"/>
    </xf>
    <xf numFmtId="0" fontId="24" fillId="2" borderId="286" xfId="47" applyFont="1" applyFill="1" applyBorder="1" applyAlignment="1">
      <alignment horizontal="center" vertical="center"/>
    </xf>
    <xf numFmtId="0" fontId="24" fillId="2" borderId="85" xfId="47" applyFont="1" applyFill="1" applyBorder="1" applyAlignment="1">
      <alignment horizontal="center" vertical="center"/>
    </xf>
    <xf numFmtId="0" fontId="104" fillId="0" borderId="289" xfId="48" applyFont="1" applyBorder="1" applyAlignment="1">
      <alignment horizontal="left" textRotation="90" wrapText="1"/>
    </xf>
    <xf numFmtId="0" fontId="104" fillId="0" borderId="295" xfId="48" applyFont="1" applyBorder="1" applyAlignment="1">
      <alignment horizontal="left" textRotation="90" wrapText="1"/>
    </xf>
    <xf numFmtId="0" fontId="104" fillId="0" borderId="305" xfId="48" applyFont="1" applyBorder="1" applyAlignment="1">
      <alignment horizontal="left" textRotation="90" wrapText="1"/>
    </xf>
    <xf numFmtId="0" fontId="16" fillId="0" borderId="75" xfId="47" applyFont="1" applyBorder="1" applyAlignment="1">
      <alignment horizontal="center" vertical="center"/>
    </xf>
    <xf numFmtId="0" fontId="16" fillId="0" borderId="50" xfId="47" applyFont="1" applyBorder="1" applyAlignment="1">
      <alignment horizontal="center" vertical="center"/>
    </xf>
    <xf numFmtId="0" fontId="12" fillId="0" borderId="75" xfId="47" applyFont="1" applyBorder="1" applyAlignment="1">
      <alignment horizontal="center" vertical="center"/>
    </xf>
    <xf numFmtId="0" fontId="12" fillId="0" borderId="50" xfId="47" applyFont="1" applyBorder="1" applyAlignment="1">
      <alignment horizontal="center" vertical="center"/>
    </xf>
    <xf numFmtId="3" fontId="24" fillId="2" borderId="281" xfId="47" applyNumberFormat="1" applyFont="1" applyFill="1" applyBorder="1" applyAlignment="1">
      <alignment horizontal="center" vertical="center"/>
    </xf>
    <xf numFmtId="3" fontId="24" fillId="2" borderId="288" xfId="47" applyNumberFormat="1" applyFont="1" applyFill="1" applyBorder="1" applyAlignment="1">
      <alignment horizontal="center" vertical="center"/>
    </xf>
    <xf numFmtId="3" fontId="24" fillId="2" borderId="287" xfId="47" applyNumberFormat="1" applyFont="1" applyFill="1" applyBorder="1" applyAlignment="1">
      <alignment horizontal="center" vertical="center"/>
    </xf>
    <xf numFmtId="2" fontId="24" fillId="2" borderId="281" xfId="47" applyNumberFormat="1" applyFont="1" applyFill="1" applyBorder="1" applyAlignment="1">
      <alignment horizontal="center" vertical="center"/>
    </xf>
    <xf numFmtId="2" fontId="24" fillId="2" borderId="288" xfId="47" applyNumberFormat="1" applyFont="1" applyFill="1" applyBorder="1" applyAlignment="1">
      <alignment horizontal="center" vertical="center"/>
    </xf>
    <xf numFmtId="2" fontId="42" fillId="2" borderId="2" xfId="0" applyNumberFormat="1" applyFont="1" applyFill="1" applyBorder="1" applyAlignment="1">
      <alignment horizontal="center" vertical="center"/>
    </xf>
    <xf numFmtId="2" fontId="42" fillId="2" borderId="62" xfId="0" applyNumberFormat="1" applyFont="1" applyFill="1" applyBorder="1" applyAlignment="1">
      <alignment horizontal="center" vertical="center"/>
    </xf>
    <xf numFmtId="2" fontId="42" fillId="2" borderId="3" xfId="0" applyNumberFormat="1" applyFont="1" applyFill="1" applyBorder="1" applyAlignment="1">
      <alignment horizontal="center" vertical="center"/>
    </xf>
    <xf numFmtId="0" fontId="42" fillId="2" borderId="258" xfId="0" applyFont="1" applyFill="1" applyBorder="1" applyAlignment="1">
      <alignment horizontal="center" vertical="center"/>
    </xf>
    <xf numFmtId="0" fontId="42" fillId="2" borderId="259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center"/>
    </xf>
    <xf numFmtId="0" fontId="0" fillId="5" borderId="264" xfId="0" applyFont="1" applyFill="1" applyBorder="1" applyAlignment="1">
      <alignment vertical="center"/>
    </xf>
    <xf numFmtId="165" fontId="40" fillId="2" borderId="2" xfId="0" applyNumberFormat="1" applyFont="1" applyFill="1" applyBorder="1" applyAlignment="1">
      <alignment horizontal="center" vertical="center"/>
    </xf>
    <xf numFmtId="165" fontId="40" fillId="2" borderId="62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left" vertical="center"/>
    </xf>
    <xf numFmtId="0" fontId="0" fillId="5" borderId="264" xfId="0" applyFont="1" applyFill="1" applyBorder="1" applyAlignment="1">
      <alignment horizontal="left" vertical="center"/>
    </xf>
    <xf numFmtId="165" fontId="40" fillId="2" borderId="1" xfId="0" applyNumberFormat="1" applyFont="1" applyFill="1" applyBorder="1" applyAlignment="1">
      <alignment horizontal="center" vertical="center"/>
    </xf>
    <xf numFmtId="2" fontId="40" fillId="2" borderId="2" xfId="0" applyNumberFormat="1" applyFont="1" applyFill="1" applyBorder="1" applyAlignment="1">
      <alignment horizontal="center" vertical="center"/>
    </xf>
    <xf numFmtId="2" fontId="40" fillId="2" borderId="62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264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264" xfId="0" applyFont="1" applyBorder="1" applyAlignment="1">
      <alignment horizontal="left" vertical="center"/>
    </xf>
    <xf numFmtId="0" fontId="40" fillId="20" borderId="2" xfId="0" applyFont="1" applyFill="1" applyBorder="1" applyAlignment="1">
      <alignment horizontal="center" vertical="center"/>
    </xf>
    <xf numFmtId="0" fontId="40" fillId="20" borderId="62" xfId="0" applyFont="1" applyFill="1" applyBorder="1" applyAlignment="1">
      <alignment horizontal="center" vertical="center"/>
    </xf>
    <xf numFmtId="165" fontId="16" fillId="3" borderId="2" xfId="0" applyNumberFormat="1" applyFont="1" applyFill="1" applyBorder="1" applyAlignment="1">
      <alignment horizontal="center" vertical="center"/>
    </xf>
    <xf numFmtId="165" fontId="16" fillId="3" borderId="62" xfId="0" applyNumberFormat="1" applyFont="1" applyFill="1" applyBorder="1" applyAlignment="1">
      <alignment horizontal="center" vertical="center"/>
    </xf>
    <xf numFmtId="165" fontId="40" fillId="3" borderId="2" xfId="0" applyNumberFormat="1" applyFont="1" applyFill="1" applyBorder="1" applyAlignment="1">
      <alignment horizontal="center" vertical="center"/>
    </xf>
    <xf numFmtId="165" fontId="40" fillId="3" borderId="62" xfId="0" applyNumberFormat="1" applyFont="1" applyFill="1" applyBorder="1" applyAlignment="1">
      <alignment horizontal="center" vertical="center"/>
    </xf>
    <xf numFmtId="0" fontId="40" fillId="20" borderId="260" xfId="0" applyFont="1" applyFill="1" applyBorder="1" applyAlignment="1">
      <alignment horizontal="center" vertical="center"/>
    </xf>
    <xf numFmtId="165" fontId="40" fillId="2" borderId="31" xfId="0" applyNumberFormat="1" applyFont="1" applyFill="1" applyBorder="1" applyAlignment="1">
      <alignment horizontal="center" vertical="center"/>
    </xf>
    <xf numFmtId="0" fontId="40" fillId="2" borderId="261" xfId="0" applyFont="1" applyFill="1" applyBorder="1" applyAlignment="1">
      <alignment horizontal="center" vertical="center"/>
    </xf>
    <xf numFmtId="0" fontId="40" fillId="2" borderId="262" xfId="0" applyFont="1" applyFill="1" applyBorder="1" applyAlignment="1">
      <alignment horizontal="center" vertical="center"/>
    </xf>
    <xf numFmtId="0" fontId="40" fillId="2" borderId="268" xfId="0" applyFont="1" applyFill="1" applyBorder="1" applyAlignment="1">
      <alignment horizontal="center" vertical="center"/>
    </xf>
    <xf numFmtId="165" fontId="40" fillId="2" borderId="261" xfId="0" applyNumberFormat="1" applyFont="1" applyFill="1" applyBorder="1" applyAlignment="1">
      <alignment horizontal="center" vertical="center"/>
    </xf>
    <xf numFmtId="165" fontId="40" fillId="2" borderId="262" xfId="0" applyNumberFormat="1" applyFont="1" applyFill="1" applyBorder="1" applyAlignment="1">
      <alignment horizontal="center" vertical="center"/>
    </xf>
    <xf numFmtId="0" fontId="24" fillId="3" borderId="41" xfId="0" applyFont="1" applyFill="1" applyBorder="1" applyAlignment="1">
      <alignment horizontal="center" vertical="center"/>
    </xf>
    <xf numFmtId="0" fontId="24" fillId="3" borderId="267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0" fontId="40" fillId="21" borderId="2" xfId="0" applyFont="1" applyFill="1" applyBorder="1" applyAlignment="1">
      <alignment horizontal="center" vertical="center"/>
    </xf>
    <xf numFmtId="0" fontId="40" fillId="21" borderId="6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0" fillId="21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0" fillId="20" borderId="32" xfId="0" applyFont="1" applyFill="1" applyBorder="1" applyAlignment="1">
      <alignment horizontal="center" vertical="center"/>
    </xf>
    <xf numFmtId="0" fontId="40" fillId="20" borderId="263" xfId="0" applyFont="1" applyFill="1" applyBorder="1" applyAlignment="1">
      <alignment horizontal="center" vertical="center"/>
    </xf>
    <xf numFmtId="0" fontId="40" fillId="20" borderId="264" xfId="0" applyFont="1" applyFill="1" applyBorder="1" applyAlignment="1">
      <alignment horizontal="center" vertical="center"/>
    </xf>
    <xf numFmtId="2" fontId="40" fillId="2" borderId="260" xfId="0" applyNumberFormat="1" applyFont="1" applyFill="1" applyBorder="1" applyAlignment="1">
      <alignment horizontal="center" vertical="center"/>
    </xf>
    <xf numFmtId="2" fontId="40" fillId="2" borderId="32" xfId="0" applyNumberFormat="1" applyFont="1" applyFill="1" applyBorder="1" applyAlignment="1">
      <alignment horizontal="center" vertical="center"/>
    </xf>
    <xf numFmtId="2" fontId="40" fillId="2" borderId="261" xfId="0" applyNumberFormat="1" applyFont="1" applyFill="1" applyBorder="1" applyAlignment="1">
      <alignment horizontal="center" vertical="center"/>
    </xf>
    <xf numFmtId="2" fontId="40" fillId="2" borderId="262" xfId="0" applyNumberFormat="1" applyFont="1" applyFill="1" applyBorder="1" applyAlignment="1">
      <alignment horizontal="center" vertical="center"/>
    </xf>
    <xf numFmtId="0" fontId="16" fillId="21" borderId="2" xfId="0" applyFont="1" applyFill="1" applyBorder="1" applyAlignment="1">
      <alignment horizontal="center" vertical="center"/>
    </xf>
    <xf numFmtId="0" fontId="16" fillId="21" borderId="3" xfId="0" applyFont="1" applyFill="1" applyBorder="1" applyAlignment="1">
      <alignment horizontal="center" vertical="center"/>
    </xf>
    <xf numFmtId="0" fontId="16" fillId="21" borderId="62" xfId="0" applyFont="1" applyFill="1" applyBorder="1" applyAlignment="1">
      <alignment horizontal="center" vertical="center"/>
    </xf>
    <xf numFmtId="0" fontId="40" fillId="20" borderId="25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40" fillId="2" borderId="62" xfId="0" applyFont="1" applyFill="1" applyBorder="1" applyAlignment="1">
      <alignment horizontal="center" vertical="center"/>
    </xf>
    <xf numFmtId="167" fontId="36" fillId="2" borderId="2" xfId="0" applyNumberFormat="1" applyFont="1" applyFill="1" applyBorder="1" applyAlignment="1">
      <alignment horizontal="center" vertical="center"/>
    </xf>
    <xf numFmtId="167" fontId="36" fillId="2" borderId="62" xfId="0" applyNumberFormat="1" applyFont="1" applyFill="1" applyBorder="1" applyAlignment="1">
      <alignment horizontal="center" vertical="center"/>
    </xf>
    <xf numFmtId="0" fontId="40" fillId="2" borderId="258" xfId="0" applyFont="1" applyFill="1" applyBorder="1" applyAlignment="1">
      <alignment horizontal="center" vertical="center"/>
    </xf>
    <xf numFmtId="0" fontId="40" fillId="2" borderId="259" xfId="0" applyFont="1" applyFill="1" applyBorder="1" applyAlignment="1">
      <alignment horizontal="center" vertical="center"/>
    </xf>
  </cellXfs>
  <cellStyles count="49">
    <cellStyle name="Comma [0] 2" xfId="7"/>
    <cellStyle name="Comma 2" xfId="3"/>
    <cellStyle name="Comma 2 2" xfId="8"/>
    <cellStyle name="Comma 2 3" xfId="35"/>
    <cellStyle name="Comma 2 4" xfId="37"/>
    <cellStyle name="Comma 2 4 2" xfId="46"/>
    <cellStyle name="Comma 2 5" xfId="39"/>
    <cellStyle name="Comma 3" xfId="4"/>
    <cellStyle name="Comma 3 2" xfId="32"/>
    <cellStyle name="Comma 3 3" xfId="40"/>
    <cellStyle name="Comma 4" xfId="9"/>
    <cellStyle name="Currency 2" xfId="10"/>
    <cellStyle name="Currency 2 2" xfId="11"/>
    <cellStyle name="Hyperlink 2" xfId="12"/>
    <cellStyle name="Normal" xfId="0" builtinId="0"/>
    <cellStyle name="Normal 2" xfId="1"/>
    <cellStyle name="Normal 2 2" xfId="5"/>
    <cellStyle name="Normal 2 2 2" xfId="13"/>
    <cellStyle name="Normal 2 2 3" xfId="43"/>
    <cellStyle name="Normal 2 3" xfId="14"/>
    <cellStyle name="Normal 3" xfId="2"/>
    <cellStyle name="Normal 3 2" xfId="15"/>
    <cellStyle name="Normal 3 3" xfId="16"/>
    <cellStyle name="Normal 3 4" xfId="17"/>
    <cellStyle name="Normal 3 5" xfId="18"/>
    <cellStyle name="Normal 3 6" xfId="34"/>
    <cellStyle name="Normal 3 7" xfId="36"/>
    <cellStyle name="Normal 3 7 2" xfId="45"/>
    <cellStyle name="Normal 3 8" xfId="44"/>
    <cellStyle name="Normal 4" xfId="6"/>
    <cellStyle name="Normal 4 2" xfId="19"/>
    <cellStyle name="Normal 4 3" xfId="20"/>
    <cellStyle name="Normal 4 4" xfId="29"/>
    <cellStyle name="Normal 4 5" xfId="31"/>
    <cellStyle name="Normal 5" xfId="21"/>
    <cellStyle name="Normal 5 2" xfId="22"/>
    <cellStyle name="Normal 5 3" xfId="41"/>
    <cellStyle name="Normal 6" xfId="23"/>
    <cellStyle name="Normal 6 2" xfId="24"/>
    <cellStyle name="Normal 6 3" xfId="42"/>
    <cellStyle name="Normal 7" xfId="25"/>
    <cellStyle name="Normal 7 2" xfId="33"/>
    <cellStyle name="Normal 8" xfId="30"/>
    <cellStyle name="Normal 8 2" xfId="48"/>
    <cellStyle name="Normal 9" xfId="47"/>
    <cellStyle name="Normal_Design-Weather-Calc" xfId="38"/>
    <cellStyle name="Percent 2" xfId="26"/>
    <cellStyle name="Percent 2 2" xfId="27"/>
    <cellStyle name="vct" xfId="28"/>
  </cellStyles>
  <dxfs count="0"/>
  <tableStyles count="0" defaultTableStyle="TableStyleMedium2" defaultPivotStyle="PivotStyleLight16"/>
  <colors>
    <mruColors>
      <color rgb="FFFFFFCC"/>
      <color rgb="FFFFFF99"/>
      <color rgb="FFE8F5F8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bar"/>
        <c:grouping val="clustered"/>
        <c:ser>
          <c:idx val="0"/>
          <c:order val="0"/>
          <c:val>
            <c:numRef>
              <c:f>(#REF!,#REF!,#REF!,#REF!,#REF!,#REF!,#REF!,#REF!)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02307328"/>
        <c:axId val="102308864"/>
      </c:barChart>
      <c:catAx>
        <c:axId val="102307328"/>
        <c:scaling>
          <c:orientation val="minMax"/>
        </c:scaling>
        <c:axPos val="l"/>
        <c:tickLblPos val="nextTo"/>
        <c:crossAx val="102308864"/>
        <c:crosses val="autoZero"/>
        <c:auto val="1"/>
        <c:lblAlgn val="ctr"/>
        <c:lblOffset val="100"/>
      </c:catAx>
      <c:valAx>
        <c:axId val="102308864"/>
        <c:scaling>
          <c:orientation val="minMax"/>
        </c:scaling>
        <c:axPos val="b"/>
        <c:majorGridlines/>
        <c:numFmt formatCode="General" sourceLinked="1"/>
        <c:tickLblPos val="nextTo"/>
        <c:crossAx val="102307328"/>
        <c:crosses val="autoZero"/>
        <c:crossBetween val="between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bar"/>
        <c:grouping val="clustered"/>
        <c:ser>
          <c:idx val="0"/>
          <c:order val="0"/>
          <c:val>
            <c:numRef>
              <c:f>('Input-Output'!$AY$6:$AY$7,'Input-Output'!$AY$9:$AY$11,'Input-Output'!$AY$13:$AY$16,'Input-Output'!$AY$18:$AY$20,'Input-Output'!$AY$22:$AY$26,'Input-Output'!$AY$28:$AY$30,'Input-Output'!$AY$32:$AY$34,'Input-Output'!$AY$36:$AY$37)</c:f>
              <c:numCache>
                <c:formatCode>#,##0</c:formatCode>
                <c:ptCount val="25"/>
                <c:pt idx="0">
                  <c:v>722.04240462551456</c:v>
                </c:pt>
                <c:pt idx="1">
                  <c:v>712.59131822679126</c:v>
                </c:pt>
                <c:pt idx="2">
                  <c:v>0</c:v>
                </c:pt>
                <c:pt idx="3">
                  <c:v>582.09183457535062</c:v>
                </c:pt>
                <c:pt idx="4">
                  <c:v>548.45671900044545</c:v>
                </c:pt>
                <c:pt idx="5">
                  <c:v>0</c:v>
                </c:pt>
                <c:pt idx="6">
                  <c:v>447.70021758811271</c:v>
                </c:pt>
                <c:pt idx="7">
                  <c:v>372.06976647392906</c:v>
                </c:pt>
                <c:pt idx="8">
                  <c:v>270.95884156421829</c:v>
                </c:pt>
                <c:pt idx="9">
                  <c:v>293.06263789977027</c:v>
                </c:pt>
                <c:pt idx="10">
                  <c:v>203.77510162885923</c:v>
                </c:pt>
                <c:pt idx="11">
                  <c:v>-58.510766451600709</c:v>
                </c:pt>
                <c:pt idx="12">
                  <c:v>-437.77849317583224</c:v>
                </c:pt>
                <c:pt idx="13">
                  <c:v>-520.09283594105182</c:v>
                </c:pt>
                <c:pt idx="14">
                  <c:v>-592.83763866166555</c:v>
                </c:pt>
                <c:pt idx="15">
                  <c:v>-659.18869121624925</c:v>
                </c:pt>
                <c:pt idx="16">
                  <c:v>-779.11252309092094</c:v>
                </c:pt>
                <c:pt idx="17">
                  <c:v>0</c:v>
                </c:pt>
                <c:pt idx="18">
                  <c:v>-1306.4636850619522</c:v>
                </c:pt>
                <c:pt idx="19">
                  <c:v>-1323.6325342135708</c:v>
                </c:pt>
                <c:pt idx="20">
                  <c:v>0</c:v>
                </c:pt>
                <c:pt idx="21">
                  <c:v>-2323.8643855797668</c:v>
                </c:pt>
                <c:pt idx="22">
                  <c:v>-2357.3029392716749</c:v>
                </c:pt>
                <c:pt idx="23">
                  <c:v>-3339.6037054678604</c:v>
                </c:pt>
                <c:pt idx="24">
                  <c:v>-3397.4751747821151</c:v>
                </c:pt>
              </c:numCache>
            </c:numRef>
          </c:val>
        </c:ser>
        <c:axId val="102328192"/>
        <c:axId val="102329728"/>
      </c:barChart>
      <c:catAx>
        <c:axId val="102328192"/>
        <c:scaling>
          <c:orientation val="minMax"/>
        </c:scaling>
        <c:axPos val="l"/>
        <c:tickLblPos val="nextTo"/>
        <c:crossAx val="102329728"/>
        <c:crosses val="autoZero"/>
        <c:auto val="1"/>
        <c:lblAlgn val="ctr"/>
        <c:lblOffset val="100"/>
      </c:catAx>
      <c:valAx>
        <c:axId val="102329728"/>
        <c:scaling>
          <c:orientation val="minMax"/>
        </c:scaling>
        <c:axPos val="b"/>
        <c:majorGridlines/>
        <c:numFmt formatCode="#,##0" sourceLinked="1"/>
        <c:tickLblPos val="nextTo"/>
        <c:crossAx val="102328192"/>
        <c:crosses val="autoZero"/>
        <c:crossBetween val="between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"/>
  <c:chart>
    <c:plotArea>
      <c:layout/>
      <c:barChart>
        <c:barDir val="bar"/>
        <c:grouping val="clustered"/>
        <c:ser>
          <c:idx val="0"/>
          <c:order val="0"/>
          <c:val>
            <c:numRef>
              <c:f>('Input-Output'!$BS$6:$BS$7,'Input-Output'!$BS$9:$BS$11,'Input-Output'!$BS$13:$BS$16,'Input-Output'!$BS$18:$BS$20,'Input-Output'!$BS$22:$BS$26,'Input-Output'!$BS$28:$BS$30,'Input-Output'!$BS$32:$BS$34,'Input-Output'!$BS$36:$BS$37)</c:f>
              <c:numCache>
                <c:formatCode>#,##0</c:formatCode>
                <c:ptCount val="25"/>
                <c:pt idx="0">
                  <c:v>-2093.1136341272668</c:v>
                </c:pt>
                <c:pt idx="1">
                  <c:v>-2068.5318116484241</c:v>
                </c:pt>
                <c:pt idx="2">
                  <c:v>0</c:v>
                </c:pt>
                <c:pt idx="3">
                  <c:v>-1710.0981685580489</c:v>
                </c:pt>
                <c:pt idx="4">
                  <c:v>-1630.1278506602712</c:v>
                </c:pt>
                <c:pt idx="5">
                  <c:v>0</c:v>
                </c:pt>
                <c:pt idx="6">
                  <c:v>-1353.051950584904</c:v>
                </c:pt>
                <c:pt idx="7">
                  <c:v>-1193.9411127193707</c:v>
                </c:pt>
                <c:pt idx="8">
                  <c:v>-1011.562412451962</c:v>
                </c:pt>
                <c:pt idx="9">
                  <c:v>-1333.2389050764132</c:v>
                </c:pt>
                <c:pt idx="10">
                  <c:v>-1232.5715500356696</c:v>
                </c:pt>
                <c:pt idx="11">
                  <c:v>-1123.1765659745979</c:v>
                </c:pt>
                <c:pt idx="12">
                  <c:v>-437.77849317583224</c:v>
                </c:pt>
                <c:pt idx="13">
                  <c:v>-520.09283594105182</c:v>
                </c:pt>
                <c:pt idx="14">
                  <c:v>-592.83763866166555</c:v>
                </c:pt>
                <c:pt idx="15">
                  <c:v>-659.18869121624925</c:v>
                </c:pt>
                <c:pt idx="16">
                  <c:v>-779.11252309092094</c:v>
                </c:pt>
                <c:pt idx="17">
                  <c:v>0</c:v>
                </c:pt>
                <c:pt idx="18">
                  <c:v>2517.3533212481502</c:v>
                </c:pt>
                <c:pt idx="19">
                  <c:v>2555.0659700673896</c:v>
                </c:pt>
                <c:pt idx="20">
                  <c:v>0</c:v>
                </c:pt>
                <c:pt idx="21">
                  <c:v>2683.7351933335049</c:v>
                </c:pt>
                <c:pt idx="22">
                  <c:v>2725.933677392431</c:v>
                </c:pt>
                <c:pt idx="23">
                  <c:v>7099.1140382831727</c:v>
                </c:pt>
                <c:pt idx="24">
                  <c:v>7208.374785440883</c:v>
                </c:pt>
              </c:numCache>
            </c:numRef>
          </c:val>
        </c:ser>
        <c:axId val="101992704"/>
        <c:axId val="101994496"/>
      </c:barChart>
      <c:catAx>
        <c:axId val="101992704"/>
        <c:scaling>
          <c:orientation val="minMax"/>
        </c:scaling>
        <c:axPos val="l"/>
        <c:tickLblPos val="nextTo"/>
        <c:crossAx val="101994496"/>
        <c:crosses val="autoZero"/>
        <c:auto val="1"/>
        <c:lblAlgn val="ctr"/>
        <c:lblOffset val="100"/>
      </c:catAx>
      <c:valAx>
        <c:axId val="101994496"/>
        <c:scaling>
          <c:orientation val="minMax"/>
        </c:scaling>
        <c:axPos val="b"/>
        <c:majorGridlines/>
        <c:numFmt formatCode="#,##0" sourceLinked="1"/>
        <c:tickLblPos val="nextTo"/>
        <c:crossAx val="101992704"/>
        <c:crosses val="autoZero"/>
        <c:crossBetween val="between"/>
      </c:valAx>
    </c:plotArea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 orientation="landscape"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wmf"/><Relationship Id="rId2" Type="http://schemas.openxmlformats.org/officeDocument/2006/relationships/image" Target="../media/image4.emf"/><Relationship Id="rId1" Type="http://schemas.openxmlformats.org/officeDocument/2006/relationships/image" Target="../media/image3.wmf"/><Relationship Id="rId5" Type="http://schemas.openxmlformats.org/officeDocument/2006/relationships/image" Target="../media/image7.wmf"/><Relationship Id="rId4" Type="http://schemas.openxmlformats.org/officeDocument/2006/relationships/image" Target="../media/image6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51</xdr:row>
      <xdr:rowOff>219075</xdr:rowOff>
    </xdr:from>
    <xdr:to>
      <xdr:col>5</xdr:col>
      <xdr:colOff>0</xdr:colOff>
      <xdr:row>51</xdr:row>
      <xdr:rowOff>219075</xdr:rowOff>
    </xdr:to>
    <xdr:cxnSp macro="">
      <xdr:nvCxnSpPr>
        <xdr:cNvPr id="2" name="Straight Arrow Connector 42"/>
        <xdr:cNvCxnSpPr>
          <a:cxnSpLocks noChangeShapeType="1"/>
        </xdr:cNvCxnSpPr>
      </xdr:nvCxnSpPr>
      <xdr:spPr bwMode="auto">
        <a:xfrm flipV="1">
          <a:off x="268605" y="9934575"/>
          <a:ext cx="508635" cy="0"/>
        </a:xfrm>
        <a:prstGeom prst="straightConnector1">
          <a:avLst/>
        </a:prstGeom>
        <a:noFill/>
        <a:ln w="2857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21</xdr:col>
      <xdr:colOff>57150</xdr:colOff>
      <xdr:row>1</xdr:row>
      <xdr:rowOff>190500</xdr:rowOff>
    </xdr:from>
    <xdr:to>
      <xdr:col>22</xdr:col>
      <xdr:colOff>57150</xdr:colOff>
      <xdr:row>2</xdr:row>
      <xdr:rowOff>123825</xdr:rowOff>
    </xdr:to>
    <xdr:sp macro="" textlink="">
      <xdr:nvSpPr>
        <xdr:cNvPr id="3" name="AutoShape 7"/>
        <xdr:cNvSpPr>
          <a:spLocks noChangeArrowheads="1"/>
        </xdr:cNvSpPr>
      </xdr:nvSpPr>
      <xdr:spPr bwMode="auto">
        <a:xfrm>
          <a:off x="3204210" y="381000"/>
          <a:ext cx="129540" cy="123825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CC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9525</xdr:colOff>
      <xdr:row>2</xdr:row>
      <xdr:rowOff>9525</xdr:rowOff>
    </xdr:from>
    <xdr:to>
      <xdr:col>24</xdr:col>
      <xdr:colOff>9525</xdr:colOff>
      <xdr:row>2</xdr:row>
      <xdr:rowOff>133350</xdr:rowOff>
    </xdr:to>
    <xdr:sp macro="" textlink="">
      <xdr:nvSpPr>
        <xdr:cNvPr id="4" name="AutoShape 8"/>
        <xdr:cNvSpPr>
          <a:spLocks noChangeArrowheads="1"/>
        </xdr:cNvSpPr>
      </xdr:nvSpPr>
      <xdr:spPr bwMode="auto">
        <a:xfrm>
          <a:off x="3415665" y="390525"/>
          <a:ext cx="129540" cy="123825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CC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9525</xdr:rowOff>
    </xdr:from>
    <xdr:to>
      <xdr:col>25</xdr:col>
      <xdr:colOff>85725</xdr:colOff>
      <xdr:row>2</xdr:row>
      <xdr:rowOff>133350</xdr:rowOff>
    </xdr:to>
    <xdr:sp macro="" textlink="">
      <xdr:nvSpPr>
        <xdr:cNvPr id="5" name="AutoShape 7"/>
        <xdr:cNvSpPr>
          <a:spLocks noChangeArrowheads="1"/>
        </xdr:cNvSpPr>
      </xdr:nvSpPr>
      <xdr:spPr bwMode="auto">
        <a:xfrm>
          <a:off x="3621405" y="390525"/>
          <a:ext cx="129540" cy="123825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CC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6</xdr:row>
      <xdr:rowOff>28575</xdr:rowOff>
    </xdr:from>
    <xdr:to>
      <xdr:col>39</xdr:col>
      <xdr:colOff>9525</xdr:colOff>
      <xdr:row>7</xdr:row>
      <xdr:rowOff>76200</xdr:rowOff>
    </xdr:to>
    <xdr:sp macro="" textlink="">
      <xdr:nvSpPr>
        <xdr:cNvPr id="6" name="Rectangle 260"/>
        <xdr:cNvSpPr>
          <a:spLocks noChangeArrowheads="1"/>
        </xdr:cNvSpPr>
      </xdr:nvSpPr>
      <xdr:spPr bwMode="auto">
        <a:xfrm>
          <a:off x="5219700" y="1171575"/>
          <a:ext cx="268605" cy="238125"/>
        </a:xfrm>
        <a:prstGeom prst="rect">
          <a:avLst/>
        </a:prstGeom>
        <a:solidFill>
          <a:srgbClr val="D7E4BD"/>
        </a:solidFill>
        <a:ln w="19050" algn="ctr">
          <a:solidFill>
            <a:srgbClr val="568424"/>
          </a:solidFill>
          <a:round/>
          <a:headEnd/>
          <a:tailEnd/>
        </a:ln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47625</xdr:colOff>
      <xdr:row>6</xdr:row>
      <xdr:rowOff>47625</xdr:rowOff>
    </xdr:to>
    <xdr:sp macro="" textlink="">
      <xdr:nvSpPr>
        <xdr:cNvPr id="7" name="Oval 274"/>
        <xdr:cNvSpPr>
          <a:spLocks noChangeArrowheads="1"/>
        </xdr:cNvSpPr>
      </xdr:nvSpPr>
      <xdr:spPr bwMode="auto">
        <a:xfrm>
          <a:off x="5478780" y="1143000"/>
          <a:ext cx="47625" cy="47625"/>
        </a:xfrm>
        <a:prstGeom prst="ellipse">
          <a:avLst/>
        </a:prstGeom>
        <a:solidFill>
          <a:srgbClr val="C00000"/>
        </a:solidFill>
        <a:ln w="9525" algn="ctr">
          <a:solidFill>
            <a:srgbClr val="C00000"/>
          </a:solidFill>
          <a:round/>
          <a:headEnd/>
          <a:tailEnd/>
        </a:ln>
      </xdr:spPr>
    </xdr:sp>
    <xdr:clientData/>
  </xdr:twoCellAnchor>
  <xdr:twoCellAnchor>
    <xdr:from>
      <xdr:col>36</xdr:col>
      <xdr:colOff>142875</xdr:colOff>
      <xdr:row>7</xdr:row>
      <xdr:rowOff>76200</xdr:rowOff>
    </xdr:from>
    <xdr:to>
      <xdr:col>38</xdr:col>
      <xdr:colOff>0</xdr:colOff>
      <xdr:row>8</xdr:row>
      <xdr:rowOff>76200</xdr:rowOff>
    </xdr:to>
    <xdr:cxnSp macro="">
      <xdr:nvCxnSpPr>
        <xdr:cNvPr id="8" name="Straight Arrow Connector 16"/>
        <xdr:cNvCxnSpPr>
          <a:cxnSpLocks noChangeShapeType="1"/>
          <a:endCxn id="6" idx="2"/>
        </xdr:cNvCxnSpPr>
      </xdr:nvCxnSpPr>
      <xdr:spPr bwMode="auto">
        <a:xfrm rot="5400000" flipH="1" flipV="1">
          <a:off x="5188268" y="1439227"/>
          <a:ext cx="190500" cy="13144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34</xdr:col>
      <xdr:colOff>0</xdr:colOff>
      <xdr:row>7</xdr:row>
      <xdr:rowOff>0</xdr:rowOff>
    </xdr:from>
    <xdr:to>
      <xdr:col>34</xdr:col>
      <xdr:colOff>0</xdr:colOff>
      <xdr:row>16</xdr:row>
      <xdr:rowOff>0</xdr:rowOff>
    </xdr:to>
    <xdr:cxnSp macro="">
      <xdr:nvCxnSpPr>
        <xdr:cNvPr id="13" name="Straight Arrow Connector 12"/>
        <xdr:cNvCxnSpPr/>
      </xdr:nvCxnSpPr>
      <xdr:spPr>
        <a:xfrm>
          <a:off x="4818185" y="1312985"/>
          <a:ext cx="0" cy="1688123"/>
        </a:xfrm>
        <a:prstGeom prst="straightConnector1">
          <a:avLst/>
        </a:prstGeom>
        <a:ln w="19050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22</xdr:row>
      <xdr:rowOff>0</xdr:rowOff>
    </xdr:from>
    <xdr:to>
      <xdr:col>37</xdr:col>
      <xdr:colOff>0</xdr:colOff>
      <xdr:row>38</xdr:row>
      <xdr:rowOff>0</xdr:rowOff>
    </xdr:to>
    <xdr:cxnSp macro="">
      <xdr:nvCxnSpPr>
        <xdr:cNvPr id="15" name="Straight Arrow Connector 14"/>
        <xdr:cNvCxnSpPr/>
      </xdr:nvCxnSpPr>
      <xdr:spPr>
        <a:xfrm>
          <a:off x="6318738" y="4642338"/>
          <a:ext cx="0" cy="3376247"/>
        </a:xfrm>
        <a:prstGeom prst="straightConnector1">
          <a:avLst/>
        </a:prstGeom>
        <a:ln w="19050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41</xdr:row>
      <xdr:rowOff>0</xdr:rowOff>
    </xdr:from>
    <xdr:to>
      <xdr:col>9</xdr:col>
      <xdr:colOff>0</xdr:colOff>
      <xdr:row>45</xdr:row>
      <xdr:rowOff>0</xdr:rowOff>
    </xdr:to>
    <xdr:cxnSp macro="">
      <xdr:nvCxnSpPr>
        <xdr:cNvPr id="17" name="Straight Arrow Connector 16"/>
        <xdr:cNvCxnSpPr/>
      </xdr:nvCxnSpPr>
      <xdr:spPr>
        <a:xfrm>
          <a:off x="1723292" y="8651631"/>
          <a:ext cx="0" cy="844061"/>
        </a:xfrm>
        <a:prstGeom prst="straightConnector1">
          <a:avLst/>
        </a:prstGeom>
        <a:ln w="19050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</xdr:row>
      <xdr:rowOff>93785</xdr:rowOff>
    </xdr:from>
    <xdr:to>
      <xdr:col>17</xdr:col>
      <xdr:colOff>0</xdr:colOff>
      <xdr:row>3</xdr:row>
      <xdr:rowOff>93785</xdr:rowOff>
    </xdr:to>
    <xdr:cxnSp macro="">
      <xdr:nvCxnSpPr>
        <xdr:cNvPr id="19" name="Straight Arrow Connector 18"/>
        <xdr:cNvCxnSpPr/>
      </xdr:nvCxnSpPr>
      <xdr:spPr>
        <a:xfrm>
          <a:off x="2543908" y="726831"/>
          <a:ext cx="492369" cy="0"/>
        </a:xfrm>
        <a:prstGeom prst="straightConnector1">
          <a:avLst/>
        </a:prstGeom>
        <a:ln w="19050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23446</xdr:colOff>
      <xdr:row>24</xdr:row>
      <xdr:rowOff>117231</xdr:rowOff>
    </xdr:from>
    <xdr:to>
      <xdr:col>14</xdr:col>
      <xdr:colOff>23445</xdr:colOff>
      <xdr:row>24</xdr:row>
      <xdr:rowOff>117231</xdr:rowOff>
    </xdr:to>
    <xdr:cxnSp macro="">
      <xdr:nvCxnSpPr>
        <xdr:cNvPr id="20" name="Straight Arrow Connector 19"/>
        <xdr:cNvCxnSpPr/>
      </xdr:nvCxnSpPr>
      <xdr:spPr>
        <a:xfrm>
          <a:off x="2074984" y="5181600"/>
          <a:ext cx="492369" cy="0"/>
        </a:xfrm>
        <a:prstGeom prst="straightConnector1">
          <a:avLst/>
        </a:prstGeom>
        <a:ln w="19050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35169</xdr:colOff>
      <xdr:row>40</xdr:row>
      <xdr:rowOff>105508</xdr:rowOff>
    </xdr:from>
    <xdr:to>
      <xdr:col>11</xdr:col>
      <xdr:colOff>35169</xdr:colOff>
      <xdr:row>40</xdr:row>
      <xdr:rowOff>105508</xdr:rowOff>
    </xdr:to>
    <xdr:cxnSp macro="">
      <xdr:nvCxnSpPr>
        <xdr:cNvPr id="21" name="Straight Arrow Connector 20"/>
        <xdr:cNvCxnSpPr/>
      </xdr:nvCxnSpPr>
      <xdr:spPr>
        <a:xfrm>
          <a:off x="1594338" y="8546123"/>
          <a:ext cx="492369" cy="0"/>
        </a:xfrm>
        <a:prstGeom prst="straightConnector1">
          <a:avLst/>
        </a:prstGeom>
        <a:ln w="19050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218513</xdr:colOff>
      <xdr:row>0</xdr:row>
      <xdr:rowOff>197223</xdr:rowOff>
    </xdr:from>
    <xdr:to>
      <xdr:col>57</xdr:col>
      <xdr:colOff>582705</xdr:colOff>
      <xdr:row>1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53</xdr:col>
      <xdr:colOff>239486</xdr:colOff>
      <xdr:row>1</xdr:row>
      <xdr:rowOff>65314</xdr:rowOff>
    </xdr:from>
    <xdr:to>
      <xdr:col>58</xdr:col>
      <xdr:colOff>500743</xdr:colOff>
      <xdr:row>37</xdr:row>
      <xdr:rowOff>20320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73</xdr:col>
      <xdr:colOff>206828</xdr:colOff>
      <xdr:row>1</xdr:row>
      <xdr:rowOff>43543</xdr:rowOff>
    </xdr:from>
    <xdr:to>
      <xdr:col>78</xdr:col>
      <xdr:colOff>522514</xdr:colOff>
      <xdr:row>36</xdr:row>
      <xdr:rowOff>182880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76200</xdr:colOff>
      <xdr:row>1</xdr:row>
      <xdr:rowOff>119743</xdr:rowOff>
    </xdr:from>
    <xdr:to>
      <xdr:col>4</xdr:col>
      <xdr:colOff>555172</xdr:colOff>
      <xdr:row>2</xdr:row>
      <xdr:rowOff>76200</xdr:rowOff>
    </xdr:to>
    <xdr:cxnSp macro="">
      <xdr:nvCxnSpPr>
        <xdr:cNvPr id="4" name="Straight Arrow Connector 3"/>
        <xdr:cNvCxnSpPr/>
      </xdr:nvCxnSpPr>
      <xdr:spPr>
        <a:xfrm flipH="1">
          <a:off x="1306286" y="315686"/>
          <a:ext cx="685800" cy="152400"/>
        </a:xfrm>
        <a:prstGeom prst="straightConnector1">
          <a:avLst/>
        </a:prstGeom>
        <a:ln w="28575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123283</xdr:colOff>
      <xdr:row>11</xdr:row>
      <xdr:rowOff>207020</xdr:rowOff>
    </xdr:from>
    <xdr:to>
      <xdr:col>5</xdr:col>
      <xdr:colOff>123283</xdr:colOff>
      <xdr:row>12</xdr:row>
      <xdr:rowOff>262659</xdr:rowOff>
    </xdr:to>
    <xdr:cxnSp macro="">
      <xdr:nvCxnSpPr>
        <xdr:cNvPr id="2" name="Straight Arrow Connector 20"/>
        <xdr:cNvCxnSpPr>
          <a:cxnSpLocks noChangeShapeType="1"/>
        </xdr:cNvCxnSpPr>
      </xdr:nvCxnSpPr>
      <xdr:spPr bwMode="auto">
        <a:xfrm rot="5400000" flipH="1" flipV="1">
          <a:off x="1333713" y="3157110"/>
          <a:ext cx="322339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13</xdr:col>
      <xdr:colOff>5902</xdr:colOff>
      <xdr:row>12</xdr:row>
      <xdr:rowOff>153201</xdr:rowOff>
    </xdr:from>
    <xdr:to>
      <xdr:col>14</xdr:col>
      <xdr:colOff>90456</xdr:colOff>
      <xdr:row>12</xdr:row>
      <xdr:rowOff>153201</xdr:rowOff>
    </xdr:to>
    <xdr:cxnSp macro="">
      <xdr:nvCxnSpPr>
        <xdr:cNvPr id="3" name="Straight Arrow Connector 24"/>
        <xdr:cNvCxnSpPr>
          <a:cxnSpLocks noChangeShapeType="1"/>
        </xdr:cNvCxnSpPr>
      </xdr:nvCxnSpPr>
      <xdr:spPr bwMode="auto">
        <a:xfrm>
          <a:off x="3876862" y="3208821"/>
          <a:ext cx="396974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233116</xdr:colOff>
      <xdr:row>12</xdr:row>
      <xdr:rowOff>133607</xdr:rowOff>
    </xdr:from>
    <xdr:to>
      <xdr:col>5</xdr:col>
      <xdr:colOff>8502</xdr:colOff>
      <xdr:row>12</xdr:row>
      <xdr:rowOff>133607</xdr:rowOff>
    </xdr:to>
    <xdr:cxnSp macro="">
      <xdr:nvCxnSpPr>
        <xdr:cNvPr id="4" name="Straight Arrow Connector 28"/>
        <xdr:cNvCxnSpPr>
          <a:cxnSpLocks noChangeShapeType="1"/>
        </xdr:cNvCxnSpPr>
      </xdr:nvCxnSpPr>
      <xdr:spPr bwMode="auto">
        <a:xfrm rot="10800000">
          <a:off x="979876" y="3189227"/>
          <a:ext cx="400226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12</xdr:col>
      <xdr:colOff>159642</xdr:colOff>
      <xdr:row>11</xdr:row>
      <xdr:rowOff>187426</xdr:rowOff>
    </xdr:from>
    <xdr:to>
      <xdr:col>12</xdr:col>
      <xdr:colOff>159642</xdr:colOff>
      <xdr:row>12</xdr:row>
      <xdr:rowOff>243065</xdr:rowOff>
    </xdr:to>
    <xdr:cxnSp macro="">
      <xdr:nvCxnSpPr>
        <xdr:cNvPr id="5" name="Straight Arrow Connector 29"/>
        <xdr:cNvCxnSpPr>
          <a:cxnSpLocks noChangeShapeType="1"/>
        </xdr:cNvCxnSpPr>
      </xdr:nvCxnSpPr>
      <xdr:spPr bwMode="auto">
        <a:xfrm rot="5400000" flipH="1" flipV="1">
          <a:off x="3557012" y="3137516"/>
          <a:ext cx="322339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242499</xdr:colOff>
      <xdr:row>21</xdr:row>
      <xdr:rowOff>131776</xdr:rowOff>
    </xdr:from>
    <xdr:to>
      <xdr:col>5</xdr:col>
      <xdr:colOff>23341</xdr:colOff>
      <xdr:row>21</xdr:row>
      <xdr:rowOff>131776</xdr:rowOff>
    </xdr:to>
    <xdr:cxnSp macro="">
      <xdr:nvCxnSpPr>
        <xdr:cNvPr id="6" name="Straight Arrow Connector 40"/>
        <xdr:cNvCxnSpPr>
          <a:cxnSpLocks noChangeShapeType="1"/>
        </xdr:cNvCxnSpPr>
      </xdr:nvCxnSpPr>
      <xdr:spPr bwMode="auto">
        <a:xfrm rot="10800000">
          <a:off x="989259" y="5587696"/>
          <a:ext cx="405682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5</xdr:col>
      <xdr:colOff>162456</xdr:colOff>
      <xdr:row>21</xdr:row>
      <xdr:rowOff>47719</xdr:rowOff>
    </xdr:from>
    <xdr:to>
      <xdr:col>5</xdr:col>
      <xdr:colOff>162456</xdr:colOff>
      <xdr:row>22</xdr:row>
      <xdr:rowOff>128749</xdr:rowOff>
    </xdr:to>
    <xdr:cxnSp macro="">
      <xdr:nvCxnSpPr>
        <xdr:cNvPr id="7" name="Straight Arrow Connector 22"/>
        <xdr:cNvCxnSpPr>
          <a:cxnSpLocks noChangeShapeType="1"/>
        </xdr:cNvCxnSpPr>
      </xdr:nvCxnSpPr>
      <xdr:spPr bwMode="auto">
        <a:xfrm rot="5400000">
          <a:off x="1360191" y="5677504"/>
          <a:ext cx="347730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12</xdr:col>
      <xdr:colOff>177042</xdr:colOff>
      <xdr:row>21</xdr:row>
      <xdr:rowOff>27385</xdr:rowOff>
    </xdr:from>
    <xdr:to>
      <xdr:col>12</xdr:col>
      <xdr:colOff>177042</xdr:colOff>
      <xdr:row>22</xdr:row>
      <xdr:rowOff>93184</xdr:rowOff>
    </xdr:to>
    <xdr:cxnSp macro="">
      <xdr:nvCxnSpPr>
        <xdr:cNvPr id="8" name="Straight Arrow Connector 22"/>
        <xdr:cNvCxnSpPr>
          <a:cxnSpLocks noChangeShapeType="1"/>
        </xdr:cNvCxnSpPr>
      </xdr:nvCxnSpPr>
      <xdr:spPr bwMode="auto">
        <a:xfrm rot="5400000">
          <a:off x="3569332" y="5649555"/>
          <a:ext cx="332499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13</xdr:col>
      <xdr:colOff>69091</xdr:colOff>
      <xdr:row>21</xdr:row>
      <xdr:rowOff>83164</xdr:rowOff>
    </xdr:from>
    <xdr:to>
      <xdr:col>14</xdr:col>
      <xdr:colOff>110089</xdr:colOff>
      <xdr:row>21</xdr:row>
      <xdr:rowOff>83164</xdr:rowOff>
    </xdr:to>
    <xdr:cxnSp macro="">
      <xdr:nvCxnSpPr>
        <xdr:cNvPr id="9" name="Straight Arrow Connector 36"/>
        <xdr:cNvCxnSpPr>
          <a:cxnSpLocks noChangeShapeType="1"/>
        </xdr:cNvCxnSpPr>
      </xdr:nvCxnSpPr>
      <xdr:spPr bwMode="auto">
        <a:xfrm>
          <a:off x="3940051" y="5539084"/>
          <a:ext cx="353418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222230</xdr:colOff>
      <xdr:row>13</xdr:row>
      <xdr:rowOff>132881</xdr:rowOff>
    </xdr:from>
    <xdr:to>
      <xdr:col>4</xdr:col>
      <xdr:colOff>293708</xdr:colOff>
      <xdr:row>13</xdr:row>
      <xdr:rowOff>132881</xdr:rowOff>
    </xdr:to>
    <xdr:cxnSp macro="">
      <xdr:nvCxnSpPr>
        <xdr:cNvPr id="10" name="Straight Arrow Connector 28"/>
        <xdr:cNvCxnSpPr>
          <a:cxnSpLocks noChangeShapeType="1"/>
        </xdr:cNvCxnSpPr>
      </xdr:nvCxnSpPr>
      <xdr:spPr bwMode="auto">
        <a:xfrm rot="10800000">
          <a:off x="968990" y="3455201"/>
          <a:ext cx="383898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222230</xdr:colOff>
      <xdr:row>20</xdr:row>
      <xdr:rowOff>142315</xdr:rowOff>
    </xdr:from>
    <xdr:to>
      <xdr:col>4</xdr:col>
      <xdr:colOff>278468</xdr:colOff>
      <xdr:row>20</xdr:row>
      <xdr:rowOff>142315</xdr:rowOff>
    </xdr:to>
    <xdr:cxnSp macro="">
      <xdr:nvCxnSpPr>
        <xdr:cNvPr id="11" name="Straight Arrow Connector 28"/>
        <xdr:cNvCxnSpPr>
          <a:cxnSpLocks noChangeShapeType="1"/>
        </xdr:cNvCxnSpPr>
      </xdr:nvCxnSpPr>
      <xdr:spPr bwMode="auto">
        <a:xfrm rot="10800000">
          <a:off x="968990" y="5331535"/>
          <a:ext cx="368658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13</xdr:col>
      <xdr:colOff>36382</xdr:colOff>
      <xdr:row>20</xdr:row>
      <xdr:rowOff>132881</xdr:rowOff>
    </xdr:from>
    <xdr:to>
      <xdr:col>14</xdr:col>
      <xdr:colOff>120936</xdr:colOff>
      <xdr:row>20</xdr:row>
      <xdr:rowOff>132881</xdr:rowOff>
    </xdr:to>
    <xdr:cxnSp macro="">
      <xdr:nvCxnSpPr>
        <xdr:cNvPr id="12" name="Straight Arrow Connector 24"/>
        <xdr:cNvCxnSpPr>
          <a:cxnSpLocks noChangeShapeType="1"/>
        </xdr:cNvCxnSpPr>
      </xdr:nvCxnSpPr>
      <xdr:spPr bwMode="auto">
        <a:xfrm>
          <a:off x="3907342" y="5322101"/>
          <a:ext cx="396974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12</xdr:col>
      <xdr:colOff>311428</xdr:colOff>
      <xdr:row>13</xdr:row>
      <xdr:rowOff>143041</xdr:rowOff>
    </xdr:from>
    <xdr:to>
      <xdr:col>14</xdr:col>
      <xdr:colOff>81022</xdr:colOff>
      <xdr:row>13</xdr:row>
      <xdr:rowOff>143041</xdr:rowOff>
    </xdr:to>
    <xdr:cxnSp macro="">
      <xdr:nvCxnSpPr>
        <xdr:cNvPr id="13" name="Straight Arrow Connector 24"/>
        <xdr:cNvCxnSpPr>
          <a:cxnSpLocks noChangeShapeType="1"/>
        </xdr:cNvCxnSpPr>
      </xdr:nvCxnSpPr>
      <xdr:spPr bwMode="auto">
        <a:xfrm>
          <a:off x="3869968" y="3465361"/>
          <a:ext cx="394434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7</xdr:col>
      <xdr:colOff>265453</xdr:colOff>
      <xdr:row>14</xdr:row>
      <xdr:rowOff>11138</xdr:rowOff>
    </xdr:from>
    <xdr:to>
      <xdr:col>8</xdr:col>
      <xdr:colOff>272741</xdr:colOff>
      <xdr:row>15</xdr:row>
      <xdr:rowOff>10328</xdr:rowOff>
    </xdr:to>
    <xdr:cxnSp macro="">
      <xdr:nvCxnSpPr>
        <xdr:cNvPr id="14" name="Straight Connector 13"/>
        <xdr:cNvCxnSpPr/>
      </xdr:nvCxnSpPr>
      <xdr:spPr>
        <a:xfrm>
          <a:off x="2261893" y="360015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14</xdr:row>
      <xdr:rowOff>11138</xdr:rowOff>
    </xdr:from>
    <xdr:to>
      <xdr:col>8</xdr:col>
      <xdr:colOff>272741</xdr:colOff>
      <xdr:row>15</xdr:row>
      <xdr:rowOff>10328</xdr:rowOff>
    </xdr:to>
    <xdr:cxnSp macro="">
      <xdr:nvCxnSpPr>
        <xdr:cNvPr id="15" name="Straight Connector 14"/>
        <xdr:cNvCxnSpPr/>
      </xdr:nvCxnSpPr>
      <xdr:spPr>
        <a:xfrm flipV="1">
          <a:off x="2261893" y="360015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15</xdr:row>
      <xdr:rowOff>10328</xdr:rowOff>
    </xdr:from>
    <xdr:to>
      <xdr:col>8</xdr:col>
      <xdr:colOff>272741</xdr:colOff>
      <xdr:row>16</xdr:row>
      <xdr:rowOff>9518</xdr:rowOff>
    </xdr:to>
    <xdr:cxnSp macro="">
      <xdr:nvCxnSpPr>
        <xdr:cNvPr id="16" name="Straight Connector 15"/>
        <xdr:cNvCxnSpPr/>
      </xdr:nvCxnSpPr>
      <xdr:spPr>
        <a:xfrm>
          <a:off x="2261893" y="386604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15</xdr:row>
      <xdr:rowOff>10328</xdr:rowOff>
    </xdr:from>
    <xdr:to>
      <xdr:col>8</xdr:col>
      <xdr:colOff>272741</xdr:colOff>
      <xdr:row>16</xdr:row>
      <xdr:rowOff>9518</xdr:rowOff>
    </xdr:to>
    <xdr:cxnSp macro="">
      <xdr:nvCxnSpPr>
        <xdr:cNvPr id="17" name="Straight Connector 16"/>
        <xdr:cNvCxnSpPr/>
      </xdr:nvCxnSpPr>
      <xdr:spPr>
        <a:xfrm flipV="1">
          <a:off x="2261893" y="386604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16</xdr:row>
      <xdr:rowOff>9518</xdr:rowOff>
    </xdr:from>
    <xdr:to>
      <xdr:col>8</xdr:col>
      <xdr:colOff>272741</xdr:colOff>
      <xdr:row>17</xdr:row>
      <xdr:rowOff>8709</xdr:rowOff>
    </xdr:to>
    <xdr:cxnSp macro="">
      <xdr:nvCxnSpPr>
        <xdr:cNvPr id="18" name="Straight Connector 17"/>
        <xdr:cNvCxnSpPr/>
      </xdr:nvCxnSpPr>
      <xdr:spPr>
        <a:xfrm>
          <a:off x="2261893" y="4131938"/>
          <a:ext cx="319708" cy="26589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16</xdr:row>
      <xdr:rowOff>9518</xdr:rowOff>
    </xdr:from>
    <xdr:to>
      <xdr:col>8</xdr:col>
      <xdr:colOff>272741</xdr:colOff>
      <xdr:row>17</xdr:row>
      <xdr:rowOff>8709</xdr:rowOff>
    </xdr:to>
    <xdr:cxnSp macro="">
      <xdr:nvCxnSpPr>
        <xdr:cNvPr id="19" name="Straight Connector 18"/>
        <xdr:cNvCxnSpPr/>
      </xdr:nvCxnSpPr>
      <xdr:spPr>
        <a:xfrm flipV="1">
          <a:off x="2261893" y="4131938"/>
          <a:ext cx="319708" cy="26589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19</xdr:row>
      <xdr:rowOff>7089</xdr:rowOff>
    </xdr:from>
    <xdr:to>
      <xdr:col>8</xdr:col>
      <xdr:colOff>272741</xdr:colOff>
      <xdr:row>20</xdr:row>
      <xdr:rowOff>6279</xdr:rowOff>
    </xdr:to>
    <xdr:cxnSp macro="">
      <xdr:nvCxnSpPr>
        <xdr:cNvPr id="20" name="Straight Connector 19"/>
        <xdr:cNvCxnSpPr/>
      </xdr:nvCxnSpPr>
      <xdr:spPr>
        <a:xfrm>
          <a:off x="2261893" y="4929609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19</xdr:row>
      <xdr:rowOff>7089</xdr:rowOff>
    </xdr:from>
    <xdr:to>
      <xdr:col>8</xdr:col>
      <xdr:colOff>272741</xdr:colOff>
      <xdr:row>20</xdr:row>
      <xdr:rowOff>6279</xdr:rowOff>
    </xdr:to>
    <xdr:cxnSp macro="">
      <xdr:nvCxnSpPr>
        <xdr:cNvPr id="21" name="Straight Connector 20"/>
        <xdr:cNvCxnSpPr/>
      </xdr:nvCxnSpPr>
      <xdr:spPr>
        <a:xfrm flipV="1">
          <a:off x="2261893" y="4929609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11</xdr:row>
      <xdr:rowOff>0</xdr:rowOff>
    </xdr:from>
    <xdr:to>
      <xdr:col>33</xdr:col>
      <xdr:colOff>0</xdr:colOff>
      <xdr:row>12</xdr:row>
      <xdr:rowOff>0</xdr:rowOff>
    </xdr:to>
    <xdr:cxnSp macro="">
      <xdr:nvCxnSpPr>
        <xdr:cNvPr id="22" name="Straight Connector 21"/>
        <xdr:cNvCxnSpPr/>
      </xdr:nvCxnSpPr>
      <xdr:spPr>
        <a:xfrm>
          <a:off x="9806940" y="2788920"/>
          <a:ext cx="312420" cy="2667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11</xdr:row>
      <xdr:rowOff>0</xdr:rowOff>
    </xdr:from>
    <xdr:to>
      <xdr:col>33</xdr:col>
      <xdr:colOff>0</xdr:colOff>
      <xdr:row>12</xdr:row>
      <xdr:rowOff>0</xdr:rowOff>
    </xdr:to>
    <xdr:cxnSp macro="">
      <xdr:nvCxnSpPr>
        <xdr:cNvPr id="23" name="Straight Connector 22"/>
        <xdr:cNvCxnSpPr/>
      </xdr:nvCxnSpPr>
      <xdr:spPr>
        <a:xfrm flipV="1">
          <a:off x="9806940" y="2788920"/>
          <a:ext cx="312420" cy="2667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23</xdr:row>
      <xdr:rowOff>0</xdr:rowOff>
    </xdr:to>
    <xdr:cxnSp macro="">
      <xdr:nvCxnSpPr>
        <xdr:cNvPr id="24" name="Straight Arrow Connector 23"/>
        <xdr:cNvCxnSpPr/>
      </xdr:nvCxnSpPr>
      <xdr:spPr>
        <a:xfrm>
          <a:off x="127635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21</xdr:row>
      <xdr:rowOff>0</xdr:rowOff>
    </xdr:to>
    <xdr:cxnSp macro="">
      <xdr:nvCxnSpPr>
        <xdr:cNvPr id="25" name="Straight Arrow Connector 24"/>
        <xdr:cNvCxnSpPr/>
      </xdr:nvCxnSpPr>
      <xdr:spPr>
        <a:xfrm>
          <a:off x="127635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19</xdr:row>
      <xdr:rowOff>0</xdr:rowOff>
    </xdr:from>
    <xdr:to>
      <xdr:col>44</xdr:col>
      <xdr:colOff>0</xdr:colOff>
      <xdr:row>19</xdr:row>
      <xdr:rowOff>0</xdr:rowOff>
    </xdr:to>
    <xdr:cxnSp macro="">
      <xdr:nvCxnSpPr>
        <xdr:cNvPr id="26" name="Straight Arrow Connector 25"/>
        <xdr:cNvCxnSpPr/>
      </xdr:nvCxnSpPr>
      <xdr:spPr>
        <a:xfrm>
          <a:off x="127635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12</xdr:row>
      <xdr:rowOff>0</xdr:rowOff>
    </xdr:from>
    <xdr:to>
      <xdr:col>44</xdr:col>
      <xdr:colOff>0</xdr:colOff>
      <xdr:row>12</xdr:row>
      <xdr:rowOff>0</xdr:rowOff>
    </xdr:to>
    <xdr:cxnSp macro="">
      <xdr:nvCxnSpPr>
        <xdr:cNvPr id="27" name="Straight Arrow Connector 26"/>
        <xdr:cNvCxnSpPr/>
      </xdr:nvCxnSpPr>
      <xdr:spPr>
        <a:xfrm>
          <a:off x="127635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10</xdr:row>
      <xdr:rowOff>0</xdr:rowOff>
    </xdr:from>
    <xdr:to>
      <xdr:col>44</xdr:col>
      <xdr:colOff>0</xdr:colOff>
      <xdr:row>10</xdr:row>
      <xdr:rowOff>0</xdr:rowOff>
    </xdr:to>
    <xdr:cxnSp macro="">
      <xdr:nvCxnSpPr>
        <xdr:cNvPr id="28" name="Straight Arrow Connector 27"/>
        <xdr:cNvCxnSpPr/>
      </xdr:nvCxnSpPr>
      <xdr:spPr>
        <a:xfrm>
          <a:off x="127635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23</xdr:row>
      <xdr:rowOff>0</xdr:rowOff>
    </xdr:to>
    <xdr:cxnSp macro="">
      <xdr:nvCxnSpPr>
        <xdr:cNvPr id="29" name="Straight Arrow Connector 28"/>
        <xdr:cNvCxnSpPr/>
      </xdr:nvCxnSpPr>
      <xdr:spPr>
        <a:xfrm>
          <a:off x="13190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21</xdr:row>
      <xdr:rowOff>0</xdr:rowOff>
    </xdr:to>
    <xdr:cxnSp macro="">
      <xdr:nvCxnSpPr>
        <xdr:cNvPr id="30" name="Straight Arrow Connector 29"/>
        <xdr:cNvCxnSpPr/>
      </xdr:nvCxnSpPr>
      <xdr:spPr>
        <a:xfrm>
          <a:off x="13190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19</xdr:row>
      <xdr:rowOff>0</xdr:rowOff>
    </xdr:from>
    <xdr:to>
      <xdr:col>46</xdr:col>
      <xdr:colOff>0</xdr:colOff>
      <xdr:row>19</xdr:row>
      <xdr:rowOff>0</xdr:rowOff>
    </xdr:to>
    <xdr:cxnSp macro="">
      <xdr:nvCxnSpPr>
        <xdr:cNvPr id="31" name="Straight Arrow Connector 30"/>
        <xdr:cNvCxnSpPr/>
      </xdr:nvCxnSpPr>
      <xdr:spPr>
        <a:xfrm>
          <a:off x="13190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12</xdr:row>
      <xdr:rowOff>0</xdr:rowOff>
    </xdr:from>
    <xdr:to>
      <xdr:col>46</xdr:col>
      <xdr:colOff>0</xdr:colOff>
      <xdr:row>12</xdr:row>
      <xdr:rowOff>0</xdr:rowOff>
    </xdr:to>
    <xdr:cxnSp macro="">
      <xdr:nvCxnSpPr>
        <xdr:cNvPr id="32" name="Straight Arrow Connector 31"/>
        <xdr:cNvCxnSpPr/>
      </xdr:nvCxnSpPr>
      <xdr:spPr>
        <a:xfrm>
          <a:off x="13190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10</xdr:row>
      <xdr:rowOff>0</xdr:rowOff>
    </xdr:from>
    <xdr:to>
      <xdr:col>46</xdr:col>
      <xdr:colOff>0</xdr:colOff>
      <xdr:row>10</xdr:row>
      <xdr:rowOff>0</xdr:rowOff>
    </xdr:to>
    <xdr:cxnSp macro="">
      <xdr:nvCxnSpPr>
        <xdr:cNvPr id="33" name="Straight Arrow Connector 32"/>
        <xdr:cNvCxnSpPr/>
      </xdr:nvCxnSpPr>
      <xdr:spPr>
        <a:xfrm>
          <a:off x="13190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23</xdr:row>
      <xdr:rowOff>0</xdr:rowOff>
    </xdr:from>
    <xdr:to>
      <xdr:col>50</xdr:col>
      <xdr:colOff>0</xdr:colOff>
      <xdr:row>23</xdr:row>
      <xdr:rowOff>0</xdr:rowOff>
    </xdr:to>
    <xdr:cxnSp macro="">
      <xdr:nvCxnSpPr>
        <xdr:cNvPr id="34" name="Straight Arrow Connector 33"/>
        <xdr:cNvCxnSpPr/>
      </xdr:nvCxnSpPr>
      <xdr:spPr>
        <a:xfrm>
          <a:off x="140436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21</xdr:row>
      <xdr:rowOff>0</xdr:rowOff>
    </xdr:from>
    <xdr:to>
      <xdr:col>50</xdr:col>
      <xdr:colOff>0</xdr:colOff>
      <xdr:row>21</xdr:row>
      <xdr:rowOff>0</xdr:rowOff>
    </xdr:to>
    <xdr:cxnSp macro="">
      <xdr:nvCxnSpPr>
        <xdr:cNvPr id="35" name="Straight Arrow Connector 34"/>
        <xdr:cNvCxnSpPr/>
      </xdr:nvCxnSpPr>
      <xdr:spPr>
        <a:xfrm>
          <a:off x="140436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19</xdr:row>
      <xdr:rowOff>0</xdr:rowOff>
    </xdr:from>
    <xdr:to>
      <xdr:col>50</xdr:col>
      <xdr:colOff>0</xdr:colOff>
      <xdr:row>19</xdr:row>
      <xdr:rowOff>0</xdr:rowOff>
    </xdr:to>
    <xdr:cxnSp macro="">
      <xdr:nvCxnSpPr>
        <xdr:cNvPr id="36" name="Straight Arrow Connector 35"/>
        <xdr:cNvCxnSpPr/>
      </xdr:nvCxnSpPr>
      <xdr:spPr>
        <a:xfrm>
          <a:off x="140436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12</xdr:row>
      <xdr:rowOff>0</xdr:rowOff>
    </xdr:from>
    <xdr:to>
      <xdr:col>50</xdr:col>
      <xdr:colOff>0</xdr:colOff>
      <xdr:row>12</xdr:row>
      <xdr:rowOff>0</xdr:rowOff>
    </xdr:to>
    <xdr:cxnSp macro="">
      <xdr:nvCxnSpPr>
        <xdr:cNvPr id="37" name="Straight Arrow Connector 36"/>
        <xdr:cNvCxnSpPr/>
      </xdr:nvCxnSpPr>
      <xdr:spPr>
        <a:xfrm>
          <a:off x="140436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10</xdr:row>
      <xdr:rowOff>0</xdr:rowOff>
    </xdr:from>
    <xdr:to>
      <xdr:col>50</xdr:col>
      <xdr:colOff>0</xdr:colOff>
      <xdr:row>10</xdr:row>
      <xdr:rowOff>0</xdr:rowOff>
    </xdr:to>
    <xdr:cxnSp macro="">
      <xdr:nvCxnSpPr>
        <xdr:cNvPr id="38" name="Straight Arrow Connector 37"/>
        <xdr:cNvCxnSpPr/>
      </xdr:nvCxnSpPr>
      <xdr:spPr>
        <a:xfrm>
          <a:off x="140436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23</xdr:row>
      <xdr:rowOff>0</xdr:rowOff>
    </xdr:from>
    <xdr:to>
      <xdr:col>52</xdr:col>
      <xdr:colOff>0</xdr:colOff>
      <xdr:row>23</xdr:row>
      <xdr:rowOff>0</xdr:rowOff>
    </xdr:to>
    <xdr:cxnSp macro="">
      <xdr:nvCxnSpPr>
        <xdr:cNvPr id="39" name="Straight Arrow Connector 38"/>
        <xdr:cNvCxnSpPr/>
      </xdr:nvCxnSpPr>
      <xdr:spPr>
        <a:xfrm>
          <a:off x="144703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21</xdr:row>
      <xdr:rowOff>0</xdr:rowOff>
    </xdr:from>
    <xdr:to>
      <xdr:col>52</xdr:col>
      <xdr:colOff>0</xdr:colOff>
      <xdr:row>21</xdr:row>
      <xdr:rowOff>0</xdr:rowOff>
    </xdr:to>
    <xdr:cxnSp macro="">
      <xdr:nvCxnSpPr>
        <xdr:cNvPr id="40" name="Straight Arrow Connector 39"/>
        <xdr:cNvCxnSpPr/>
      </xdr:nvCxnSpPr>
      <xdr:spPr>
        <a:xfrm>
          <a:off x="144703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19</xdr:row>
      <xdr:rowOff>0</xdr:rowOff>
    </xdr:from>
    <xdr:to>
      <xdr:col>52</xdr:col>
      <xdr:colOff>0</xdr:colOff>
      <xdr:row>19</xdr:row>
      <xdr:rowOff>0</xdr:rowOff>
    </xdr:to>
    <xdr:cxnSp macro="">
      <xdr:nvCxnSpPr>
        <xdr:cNvPr id="41" name="Straight Arrow Connector 40"/>
        <xdr:cNvCxnSpPr/>
      </xdr:nvCxnSpPr>
      <xdr:spPr>
        <a:xfrm>
          <a:off x="144703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12</xdr:row>
      <xdr:rowOff>0</xdr:rowOff>
    </xdr:from>
    <xdr:to>
      <xdr:col>52</xdr:col>
      <xdr:colOff>0</xdr:colOff>
      <xdr:row>12</xdr:row>
      <xdr:rowOff>0</xdr:rowOff>
    </xdr:to>
    <xdr:cxnSp macro="">
      <xdr:nvCxnSpPr>
        <xdr:cNvPr id="42" name="Straight Arrow Connector 41"/>
        <xdr:cNvCxnSpPr/>
      </xdr:nvCxnSpPr>
      <xdr:spPr>
        <a:xfrm>
          <a:off x="144703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10</xdr:row>
      <xdr:rowOff>0</xdr:rowOff>
    </xdr:from>
    <xdr:to>
      <xdr:col>52</xdr:col>
      <xdr:colOff>0</xdr:colOff>
      <xdr:row>10</xdr:row>
      <xdr:rowOff>0</xdr:rowOff>
    </xdr:to>
    <xdr:cxnSp macro="">
      <xdr:nvCxnSpPr>
        <xdr:cNvPr id="43" name="Straight Arrow Connector 42"/>
        <xdr:cNvCxnSpPr/>
      </xdr:nvCxnSpPr>
      <xdr:spPr>
        <a:xfrm>
          <a:off x="144703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23</xdr:row>
      <xdr:rowOff>0</xdr:rowOff>
    </xdr:from>
    <xdr:to>
      <xdr:col>56</xdr:col>
      <xdr:colOff>0</xdr:colOff>
      <xdr:row>23</xdr:row>
      <xdr:rowOff>0</xdr:rowOff>
    </xdr:to>
    <xdr:cxnSp macro="">
      <xdr:nvCxnSpPr>
        <xdr:cNvPr id="44" name="Straight Arrow Connector 43"/>
        <xdr:cNvCxnSpPr/>
      </xdr:nvCxnSpPr>
      <xdr:spPr>
        <a:xfrm>
          <a:off x="153238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21</xdr:row>
      <xdr:rowOff>0</xdr:rowOff>
    </xdr:from>
    <xdr:to>
      <xdr:col>56</xdr:col>
      <xdr:colOff>0</xdr:colOff>
      <xdr:row>21</xdr:row>
      <xdr:rowOff>0</xdr:rowOff>
    </xdr:to>
    <xdr:cxnSp macro="">
      <xdr:nvCxnSpPr>
        <xdr:cNvPr id="45" name="Straight Arrow Connector 44"/>
        <xdr:cNvCxnSpPr/>
      </xdr:nvCxnSpPr>
      <xdr:spPr>
        <a:xfrm>
          <a:off x="153238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19</xdr:row>
      <xdr:rowOff>0</xdr:rowOff>
    </xdr:from>
    <xdr:to>
      <xdr:col>56</xdr:col>
      <xdr:colOff>0</xdr:colOff>
      <xdr:row>19</xdr:row>
      <xdr:rowOff>0</xdr:rowOff>
    </xdr:to>
    <xdr:cxnSp macro="">
      <xdr:nvCxnSpPr>
        <xdr:cNvPr id="46" name="Straight Arrow Connector 45"/>
        <xdr:cNvCxnSpPr/>
      </xdr:nvCxnSpPr>
      <xdr:spPr>
        <a:xfrm>
          <a:off x="153238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12</xdr:row>
      <xdr:rowOff>0</xdr:rowOff>
    </xdr:from>
    <xdr:to>
      <xdr:col>56</xdr:col>
      <xdr:colOff>0</xdr:colOff>
      <xdr:row>12</xdr:row>
      <xdr:rowOff>0</xdr:rowOff>
    </xdr:to>
    <xdr:cxnSp macro="">
      <xdr:nvCxnSpPr>
        <xdr:cNvPr id="47" name="Straight Arrow Connector 46"/>
        <xdr:cNvCxnSpPr/>
      </xdr:nvCxnSpPr>
      <xdr:spPr>
        <a:xfrm>
          <a:off x="153238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10</xdr:row>
      <xdr:rowOff>0</xdr:rowOff>
    </xdr:from>
    <xdr:to>
      <xdr:col>56</xdr:col>
      <xdr:colOff>0</xdr:colOff>
      <xdr:row>10</xdr:row>
      <xdr:rowOff>0</xdr:rowOff>
    </xdr:to>
    <xdr:cxnSp macro="">
      <xdr:nvCxnSpPr>
        <xdr:cNvPr id="48" name="Straight Arrow Connector 47"/>
        <xdr:cNvCxnSpPr/>
      </xdr:nvCxnSpPr>
      <xdr:spPr>
        <a:xfrm>
          <a:off x="153238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23</xdr:row>
      <xdr:rowOff>0</xdr:rowOff>
    </xdr:from>
    <xdr:to>
      <xdr:col>58</xdr:col>
      <xdr:colOff>0</xdr:colOff>
      <xdr:row>23</xdr:row>
      <xdr:rowOff>0</xdr:rowOff>
    </xdr:to>
    <xdr:cxnSp macro="">
      <xdr:nvCxnSpPr>
        <xdr:cNvPr id="49" name="Straight Arrow Connector 48"/>
        <xdr:cNvCxnSpPr/>
      </xdr:nvCxnSpPr>
      <xdr:spPr>
        <a:xfrm>
          <a:off x="157505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21</xdr:row>
      <xdr:rowOff>0</xdr:rowOff>
    </xdr:from>
    <xdr:to>
      <xdr:col>58</xdr:col>
      <xdr:colOff>0</xdr:colOff>
      <xdr:row>21</xdr:row>
      <xdr:rowOff>0</xdr:rowOff>
    </xdr:to>
    <xdr:cxnSp macro="">
      <xdr:nvCxnSpPr>
        <xdr:cNvPr id="50" name="Straight Arrow Connector 49"/>
        <xdr:cNvCxnSpPr/>
      </xdr:nvCxnSpPr>
      <xdr:spPr>
        <a:xfrm>
          <a:off x="157505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19</xdr:row>
      <xdr:rowOff>0</xdr:rowOff>
    </xdr:from>
    <xdr:to>
      <xdr:col>58</xdr:col>
      <xdr:colOff>0</xdr:colOff>
      <xdr:row>19</xdr:row>
      <xdr:rowOff>0</xdr:rowOff>
    </xdr:to>
    <xdr:cxnSp macro="">
      <xdr:nvCxnSpPr>
        <xdr:cNvPr id="51" name="Straight Arrow Connector 50"/>
        <xdr:cNvCxnSpPr/>
      </xdr:nvCxnSpPr>
      <xdr:spPr>
        <a:xfrm>
          <a:off x="157505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12</xdr:row>
      <xdr:rowOff>0</xdr:rowOff>
    </xdr:from>
    <xdr:to>
      <xdr:col>58</xdr:col>
      <xdr:colOff>0</xdr:colOff>
      <xdr:row>12</xdr:row>
      <xdr:rowOff>0</xdr:rowOff>
    </xdr:to>
    <xdr:cxnSp macro="">
      <xdr:nvCxnSpPr>
        <xdr:cNvPr id="52" name="Straight Arrow Connector 51"/>
        <xdr:cNvCxnSpPr/>
      </xdr:nvCxnSpPr>
      <xdr:spPr>
        <a:xfrm>
          <a:off x="157505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10</xdr:row>
      <xdr:rowOff>0</xdr:rowOff>
    </xdr:from>
    <xdr:to>
      <xdr:col>58</xdr:col>
      <xdr:colOff>0</xdr:colOff>
      <xdr:row>10</xdr:row>
      <xdr:rowOff>0</xdr:rowOff>
    </xdr:to>
    <xdr:cxnSp macro="">
      <xdr:nvCxnSpPr>
        <xdr:cNvPr id="53" name="Straight Arrow Connector 52"/>
        <xdr:cNvCxnSpPr/>
      </xdr:nvCxnSpPr>
      <xdr:spPr>
        <a:xfrm>
          <a:off x="157505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23</xdr:row>
      <xdr:rowOff>0</xdr:rowOff>
    </xdr:from>
    <xdr:to>
      <xdr:col>62</xdr:col>
      <xdr:colOff>0</xdr:colOff>
      <xdr:row>23</xdr:row>
      <xdr:rowOff>0</xdr:rowOff>
    </xdr:to>
    <xdr:cxnSp macro="">
      <xdr:nvCxnSpPr>
        <xdr:cNvPr id="54" name="Straight Arrow Connector 53"/>
        <xdr:cNvCxnSpPr/>
      </xdr:nvCxnSpPr>
      <xdr:spPr>
        <a:xfrm>
          <a:off x="166039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21</xdr:row>
      <xdr:rowOff>0</xdr:rowOff>
    </xdr:from>
    <xdr:to>
      <xdr:col>62</xdr:col>
      <xdr:colOff>0</xdr:colOff>
      <xdr:row>21</xdr:row>
      <xdr:rowOff>0</xdr:rowOff>
    </xdr:to>
    <xdr:cxnSp macro="">
      <xdr:nvCxnSpPr>
        <xdr:cNvPr id="55" name="Straight Arrow Connector 54"/>
        <xdr:cNvCxnSpPr/>
      </xdr:nvCxnSpPr>
      <xdr:spPr>
        <a:xfrm>
          <a:off x="166039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19</xdr:row>
      <xdr:rowOff>0</xdr:rowOff>
    </xdr:from>
    <xdr:to>
      <xdr:col>62</xdr:col>
      <xdr:colOff>0</xdr:colOff>
      <xdr:row>19</xdr:row>
      <xdr:rowOff>0</xdr:rowOff>
    </xdr:to>
    <xdr:cxnSp macro="">
      <xdr:nvCxnSpPr>
        <xdr:cNvPr id="56" name="Straight Arrow Connector 55"/>
        <xdr:cNvCxnSpPr/>
      </xdr:nvCxnSpPr>
      <xdr:spPr>
        <a:xfrm>
          <a:off x="166039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12</xdr:row>
      <xdr:rowOff>0</xdr:rowOff>
    </xdr:from>
    <xdr:to>
      <xdr:col>62</xdr:col>
      <xdr:colOff>0</xdr:colOff>
      <xdr:row>12</xdr:row>
      <xdr:rowOff>0</xdr:rowOff>
    </xdr:to>
    <xdr:cxnSp macro="">
      <xdr:nvCxnSpPr>
        <xdr:cNvPr id="57" name="Straight Arrow Connector 56"/>
        <xdr:cNvCxnSpPr/>
      </xdr:nvCxnSpPr>
      <xdr:spPr>
        <a:xfrm>
          <a:off x="166039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10</xdr:row>
      <xdr:rowOff>0</xdr:rowOff>
    </xdr:from>
    <xdr:to>
      <xdr:col>62</xdr:col>
      <xdr:colOff>0</xdr:colOff>
      <xdr:row>10</xdr:row>
      <xdr:rowOff>0</xdr:rowOff>
    </xdr:to>
    <xdr:cxnSp macro="">
      <xdr:nvCxnSpPr>
        <xdr:cNvPr id="58" name="Straight Arrow Connector 57"/>
        <xdr:cNvCxnSpPr/>
      </xdr:nvCxnSpPr>
      <xdr:spPr>
        <a:xfrm>
          <a:off x="166039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23</xdr:row>
      <xdr:rowOff>0</xdr:rowOff>
    </xdr:from>
    <xdr:to>
      <xdr:col>64</xdr:col>
      <xdr:colOff>0</xdr:colOff>
      <xdr:row>23</xdr:row>
      <xdr:rowOff>0</xdr:rowOff>
    </xdr:to>
    <xdr:cxnSp macro="">
      <xdr:nvCxnSpPr>
        <xdr:cNvPr id="59" name="Straight Arrow Connector 58"/>
        <xdr:cNvCxnSpPr/>
      </xdr:nvCxnSpPr>
      <xdr:spPr>
        <a:xfrm>
          <a:off x="170307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21</xdr:row>
      <xdr:rowOff>0</xdr:rowOff>
    </xdr:from>
    <xdr:to>
      <xdr:col>64</xdr:col>
      <xdr:colOff>0</xdr:colOff>
      <xdr:row>21</xdr:row>
      <xdr:rowOff>0</xdr:rowOff>
    </xdr:to>
    <xdr:cxnSp macro="">
      <xdr:nvCxnSpPr>
        <xdr:cNvPr id="60" name="Straight Arrow Connector 59"/>
        <xdr:cNvCxnSpPr/>
      </xdr:nvCxnSpPr>
      <xdr:spPr>
        <a:xfrm>
          <a:off x="170307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19</xdr:row>
      <xdr:rowOff>0</xdr:rowOff>
    </xdr:from>
    <xdr:to>
      <xdr:col>64</xdr:col>
      <xdr:colOff>0</xdr:colOff>
      <xdr:row>19</xdr:row>
      <xdr:rowOff>0</xdr:rowOff>
    </xdr:to>
    <xdr:cxnSp macro="">
      <xdr:nvCxnSpPr>
        <xdr:cNvPr id="61" name="Straight Arrow Connector 60"/>
        <xdr:cNvCxnSpPr/>
      </xdr:nvCxnSpPr>
      <xdr:spPr>
        <a:xfrm>
          <a:off x="170307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12</xdr:row>
      <xdr:rowOff>0</xdr:rowOff>
    </xdr:from>
    <xdr:to>
      <xdr:col>64</xdr:col>
      <xdr:colOff>0</xdr:colOff>
      <xdr:row>12</xdr:row>
      <xdr:rowOff>0</xdr:rowOff>
    </xdr:to>
    <xdr:cxnSp macro="">
      <xdr:nvCxnSpPr>
        <xdr:cNvPr id="62" name="Straight Arrow Connector 61"/>
        <xdr:cNvCxnSpPr/>
      </xdr:nvCxnSpPr>
      <xdr:spPr>
        <a:xfrm>
          <a:off x="170307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10</xdr:row>
      <xdr:rowOff>0</xdr:rowOff>
    </xdr:from>
    <xdr:to>
      <xdr:col>64</xdr:col>
      <xdr:colOff>0</xdr:colOff>
      <xdr:row>10</xdr:row>
      <xdr:rowOff>0</xdr:rowOff>
    </xdr:to>
    <xdr:cxnSp macro="">
      <xdr:nvCxnSpPr>
        <xdr:cNvPr id="63" name="Straight Arrow Connector 62"/>
        <xdr:cNvCxnSpPr/>
      </xdr:nvCxnSpPr>
      <xdr:spPr>
        <a:xfrm>
          <a:off x="170307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23</xdr:row>
      <xdr:rowOff>0</xdr:rowOff>
    </xdr:from>
    <xdr:to>
      <xdr:col>70</xdr:col>
      <xdr:colOff>0</xdr:colOff>
      <xdr:row>23</xdr:row>
      <xdr:rowOff>0</xdr:rowOff>
    </xdr:to>
    <xdr:cxnSp macro="">
      <xdr:nvCxnSpPr>
        <xdr:cNvPr id="64" name="Straight Arrow Connector 63"/>
        <xdr:cNvCxnSpPr/>
      </xdr:nvCxnSpPr>
      <xdr:spPr>
        <a:xfrm>
          <a:off x="183108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21</xdr:row>
      <xdr:rowOff>0</xdr:rowOff>
    </xdr:from>
    <xdr:to>
      <xdr:col>70</xdr:col>
      <xdr:colOff>0</xdr:colOff>
      <xdr:row>21</xdr:row>
      <xdr:rowOff>0</xdr:rowOff>
    </xdr:to>
    <xdr:cxnSp macro="">
      <xdr:nvCxnSpPr>
        <xdr:cNvPr id="65" name="Straight Arrow Connector 64"/>
        <xdr:cNvCxnSpPr/>
      </xdr:nvCxnSpPr>
      <xdr:spPr>
        <a:xfrm>
          <a:off x="183108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19</xdr:row>
      <xdr:rowOff>0</xdr:rowOff>
    </xdr:from>
    <xdr:to>
      <xdr:col>70</xdr:col>
      <xdr:colOff>0</xdr:colOff>
      <xdr:row>19</xdr:row>
      <xdr:rowOff>0</xdr:rowOff>
    </xdr:to>
    <xdr:cxnSp macro="">
      <xdr:nvCxnSpPr>
        <xdr:cNvPr id="66" name="Straight Arrow Connector 65"/>
        <xdr:cNvCxnSpPr/>
      </xdr:nvCxnSpPr>
      <xdr:spPr>
        <a:xfrm>
          <a:off x="183108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12</xdr:row>
      <xdr:rowOff>0</xdr:rowOff>
    </xdr:from>
    <xdr:to>
      <xdr:col>70</xdr:col>
      <xdr:colOff>0</xdr:colOff>
      <xdr:row>12</xdr:row>
      <xdr:rowOff>0</xdr:rowOff>
    </xdr:to>
    <xdr:cxnSp macro="">
      <xdr:nvCxnSpPr>
        <xdr:cNvPr id="67" name="Straight Arrow Connector 66"/>
        <xdr:cNvCxnSpPr/>
      </xdr:nvCxnSpPr>
      <xdr:spPr>
        <a:xfrm>
          <a:off x="183108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10</xdr:row>
      <xdr:rowOff>0</xdr:rowOff>
    </xdr:from>
    <xdr:to>
      <xdr:col>70</xdr:col>
      <xdr:colOff>0</xdr:colOff>
      <xdr:row>10</xdr:row>
      <xdr:rowOff>0</xdr:rowOff>
    </xdr:to>
    <xdr:cxnSp macro="">
      <xdr:nvCxnSpPr>
        <xdr:cNvPr id="68" name="Straight Arrow Connector 67"/>
        <xdr:cNvCxnSpPr/>
      </xdr:nvCxnSpPr>
      <xdr:spPr>
        <a:xfrm>
          <a:off x="183108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23</xdr:row>
      <xdr:rowOff>0</xdr:rowOff>
    </xdr:from>
    <xdr:to>
      <xdr:col>71</xdr:col>
      <xdr:colOff>0</xdr:colOff>
      <xdr:row>23</xdr:row>
      <xdr:rowOff>0</xdr:rowOff>
    </xdr:to>
    <xdr:cxnSp macro="">
      <xdr:nvCxnSpPr>
        <xdr:cNvPr id="69" name="Straight Arrow Connector 68"/>
        <xdr:cNvCxnSpPr/>
      </xdr:nvCxnSpPr>
      <xdr:spPr>
        <a:xfrm>
          <a:off x="18524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21</xdr:row>
      <xdr:rowOff>0</xdr:rowOff>
    </xdr:from>
    <xdr:to>
      <xdr:col>71</xdr:col>
      <xdr:colOff>0</xdr:colOff>
      <xdr:row>21</xdr:row>
      <xdr:rowOff>0</xdr:rowOff>
    </xdr:to>
    <xdr:cxnSp macro="">
      <xdr:nvCxnSpPr>
        <xdr:cNvPr id="70" name="Straight Arrow Connector 69"/>
        <xdr:cNvCxnSpPr/>
      </xdr:nvCxnSpPr>
      <xdr:spPr>
        <a:xfrm>
          <a:off x="18524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19</xdr:row>
      <xdr:rowOff>0</xdr:rowOff>
    </xdr:from>
    <xdr:to>
      <xdr:col>71</xdr:col>
      <xdr:colOff>0</xdr:colOff>
      <xdr:row>19</xdr:row>
      <xdr:rowOff>0</xdr:rowOff>
    </xdr:to>
    <xdr:cxnSp macro="">
      <xdr:nvCxnSpPr>
        <xdr:cNvPr id="71" name="Straight Arrow Connector 70"/>
        <xdr:cNvCxnSpPr/>
      </xdr:nvCxnSpPr>
      <xdr:spPr>
        <a:xfrm>
          <a:off x="18524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12</xdr:row>
      <xdr:rowOff>0</xdr:rowOff>
    </xdr:from>
    <xdr:to>
      <xdr:col>71</xdr:col>
      <xdr:colOff>0</xdr:colOff>
      <xdr:row>12</xdr:row>
      <xdr:rowOff>0</xdr:rowOff>
    </xdr:to>
    <xdr:cxnSp macro="">
      <xdr:nvCxnSpPr>
        <xdr:cNvPr id="72" name="Straight Arrow Connector 71"/>
        <xdr:cNvCxnSpPr/>
      </xdr:nvCxnSpPr>
      <xdr:spPr>
        <a:xfrm>
          <a:off x="18524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10</xdr:row>
      <xdr:rowOff>0</xdr:rowOff>
    </xdr:from>
    <xdr:to>
      <xdr:col>71</xdr:col>
      <xdr:colOff>0</xdr:colOff>
      <xdr:row>10</xdr:row>
      <xdr:rowOff>0</xdr:rowOff>
    </xdr:to>
    <xdr:cxnSp macro="">
      <xdr:nvCxnSpPr>
        <xdr:cNvPr id="73" name="Straight Arrow Connector 72"/>
        <xdr:cNvCxnSpPr/>
      </xdr:nvCxnSpPr>
      <xdr:spPr>
        <a:xfrm>
          <a:off x="18524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23</xdr:row>
      <xdr:rowOff>0</xdr:rowOff>
    </xdr:from>
    <xdr:to>
      <xdr:col>72</xdr:col>
      <xdr:colOff>0</xdr:colOff>
      <xdr:row>23</xdr:row>
      <xdr:rowOff>0</xdr:rowOff>
    </xdr:to>
    <xdr:cxnSp macro="">
      <xdr:nvCxnSpPr>
        <xdr:cNvPr id="74" name="Straight Arrow Connector 73"/>
        <xdr:cNvCxnSpPr/>
      </xdr:nvCxnSpPr>
      <xdr:spPr>
        <a:xfrm>
          <a:off x="187375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21</xdr:row>
      <xdr:rowOff>0</xdr:rowOff>
    </xdr:from>
    <xdr:to>
      <xdr:col>72</xdr:col>
      <xdr:colOff>0</xdr:colOff>
      <xdr:row>21</xdr:row>
      <xdr:rowOff>0</xdr:rowOff>
    </xdr:to>
    <xdr:cxnSp macro="">
      <xdr:nvCxnSpPr>
        <xdr:cNvPr id="75" name="Straight Arrow Connector 74"/>
        <xdr:cNvCxnSpPr/>
      </xdr:nvCxnSpPr>
      <xdr:spPr>
        <a:xfrm>
          <a:off x="187375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19</xdr:row>
      <xdr:rowOff>0</xdr:rowOff>
    </xdr:from>
    <xdr:to>
      <xdr:col>72</xdr:col>
      <xdr:colOff>0</xdr:colOff>
      <xdr:row>19</xdr:row>
      <xdr:rowOff>0</xdr:rowOff>
    </xdr:to>
    <xdr:cxnSp macro="">
      <xdr:nvCxnSpPr>
        <xdr:cNvPr id="76" name="Straight Arrow Connector 75"/>
        <xdr:cNvCxnSpPr/>
      </xdr:nvCxnSpPr>
      <xdr:spPr>
        <a:xfrm>
          <a:off x="187375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12</xdr:row>
      <xdr:rowOff>0</xdr:rowOff>
    </xdr:from>
    <xdr:to>
      <xdr:col>72</xdr:col>
      <xdr:colOff>0</xdr:colOff>
      <xdr:row>12</xdr:row>
      <xdr:rowOff>0</xdr:rowOff>
    </xdr:to>
    <xdr:cxnSp macro="">
      <xdr:nvCxnSpPr>
        <xdr:cNvPr id="77" name="Straight Arrow Connector 76"/>
        <xdr:cNvCxnSpPr/>
      </xdr:nvCxnSpPr>
      <xdr:spPr>
        <a:xfrm>
          <a:off x="187375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10</xdr:row>
      <xdr:rowOff>0</xdr:rowOff>
    </xdr:from>
    <xdr:to>
      <xdr:col>72</xdr:col>
      <xdr:colOff>0</xdr:colOff>
      <xdr:row>10</xdr:row>
      <xdr:rowOff>0</xdr:rowOff>
    </xdr:to>
    <xdr:cxnSp macro="">
      <xdr:nvCxnSpPr>
        <xdr:cNvPr id="78" name="Straight Arrow Connector 77"/>
        <xdr:cNvCxnSpPr/>
      </xdr:nvCxnSpPr>
      <xdr:spPr>
        <a:xfrm>
          <a:off x="187375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23</xdr:row>
      <xdr:rowOff>0</xdr:rowOff>
    </xdr:from>
    <xdr:to>
      <xdr:col>73</xdr:col>
      <xdr:colOff>0</xdr:colOff>
      <xdr:row>23</xdr:row>
      <xdr:rowOff>0</xdr:rowOff>
    </xdr:to>
    <xdr:cxnSp macro="">
      <xdr:nvCxnSpPr>
        <xdr:cNvPr id="79" name="Straight Arrow Connector 78"/>
        <xdr:cNvCxnSpPr/>
      </xdr:nvCxnSpPr>
      <xdr:spPr>
        <a:xfrm>
          <a:off x="189509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21</xdr:row>
      <xdr:rowOff>0</xdr:rowOff>
    </xdr:from>
    <xdr:to>
      <xdr:col>73</xdr:col>
      <xdr:colOff>0</xdr:colOff>
      <xdr:row>21</xdr:row>
      <xdr:rowOff>0</xdr:rowOff>
    </xdr:to>
    <xdr:cxnSp macro="">
      <xdr:nvCxnSpPr>
        <xdr:cNvPr id="80" name="Straight Arrow Connector 79"/>
        <xdr:cNvCxnSpPr/>
      </xdr:nvCxnSpPr>
      <xdr:spPr>
        <a:xfrm>
          <a:off x="189509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19</xdr:row>
      <xdr:rowOff>0</xdr:rowOff>
    </xdr:from>
    <xdr:to>
      <xdr:col>73</xdr:col>
      <xdr:colOff>0</xdr:colOff>
      <xdr:row>19</xdr:row>
      <xdr:rowOff>0</xdr:rowOff>
    </xdr:to>
    <xdr:cxnSp macro="">
      <xdr:nvCxnSpPr>
        <xdr:cNvPr id="81" name="Straight Arrow Connector 80"/>
        <xdr:cNvCxnSpPr/>
      </xdr:nvCxnSpPr>
      <xdr:spPr>
        <a:xfrm>
          <a:off x="189509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12</xdr:row>
      <xdr:rowOff>0</xdr:rowOff>
    </xdr:from>
    <xdr:to>
      <xdr:col>73</xdr:col>
      <xdr:colOff>0</xdr:colOff>
      <xdr:row>12</xdr:row>
      <xdr:rowOff>0</xdr:rowOff>
    </xdr:to>
    <xdr:cxnSp macro="">
      <xdr:nvCxnSpPr>
        <xdr:cNvPr id="82" name="Straight Arrow Connector 81"/>
        <xdr:cNvCxnSpPr/>
      </xdr:nvCxnSpPr>
      <xdr:spPr>
        <a:xfrm>
          <a:off x="189509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10</xdr:row>
      <xdr:rowOff>0</xdr:rowOff>
    </xdr:from>
    <xdr:to>
      <xdr:col>73</xdr:col>
      <xdr:colOff>0</xdr:colOff>
      <xdr:row>10</xdr:row>
      <xdr:rowOff>0</xdr:rowOff>
    </xdr:to>
    <xdr:cxnSp macro="">
      <xdr:nvCxnSpPr>
        <xdr:cNvPr id="83" name="Straight Arrow Connector 82"/>
        <xdr:cNvCxnSpPr/>
      </xdr:nvCxnSpPr>
      <xdr:spPr>
        <a:xfrm>
          <a:off x="189509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23</xdr:row>
      <xdr:rowOff>0</xdr:rowOff>
    </xdr:from>
    <xdr:to>
      <xdr:col>75</xdr:col>
      <xdr:colOff>0</xdr:colOff>
      <xdr:row>23</xdr:row>
      <xdr:rowOff>0</xdr:rowOff>
    </xdr:to>
    <xdr:cxnSp macro="">
      <xdr:nvCxnSpPr>
        <xdr:cNvPr id="84" name="Straight Arrow Connector 83"/>
        <xdr:cNvCxnSpPr/>
      </xdr:nvCxnSpPr>
      <xdr:spPr>
        <a:xfrm>
          <a:off x="193776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21</xdr:row>
      <xdr:rowOff>20320</xdr:rowOff>
    </xdr:from>
    <xdr:to>
      <xdr:col>75</xdr:col>
      <xdr:colOff>0</xdr:colOff>
      <xdr:row>21</xdr:row>
      <xdr:rowOff>20320</xdr:rowOff>
    </xdr:to>
    <xdr:cxnSp macro="">
      <xdr:nvCxnSpPr>
        <xdr:cNvPr id="85" name="Straight Arrow Connector 84"/>
        <xdr:cNvCxnSpPr/>
      </xdr:nvCxnSpPr>
      <xdr:spPr>
        <a:xfrm>
          <a:off x="19377660" y="547624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19</xdr:row>
      <xdr:rowOff>0</xdr:rowOff>
    </xdr:from>
    <xdr:to>
      <xdr:col>75</xdr:col>
      <xdr:colOff>0</xdr:colOff>
      <xdr:row>19</xdr:row>
      <xdr:rowOff>0</xdr:rowOff>
    </xdr:to>
    <xdr:cxnSp macro="">
      <xdr:nvCxnSpPr>
        <xdr:cNvPr id="86" name="Straight Arrow Connector 85"/>
        <xdr:cNvCxnSpPr/>
      </xdr:nvCxnSpPr>
      <xdr:spPr>
        <a:xfrm>
          <a:off x="193776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12</xdr:row>
      <xdr:rowOff>0</xdr:rowOff>
    </xdr:from>
    <xdr:to>
      <xdr:col>75</xdr:col>
      <xdr:colOff>0</xdr:colOff>
      <xdr:row>12</xdr:row>
      <xdr:rowOff>0</xdr:rowOff>
    </xdr:to>
    <xdr:cxnSp macro="">
      <xdr:nvCxnSpPr>
        <xdr:cNvPr id="87" name="Straight Arrow Connector 86"/>
        <xdr:cNvCxnSpPr/>
      </xdr:nvCxnSpPr>
      <xdr:spPr>
        <a:xfrm>
          <a:off x="193776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10</xdr:row>
      <xdr:rowOff>0</xdr:rowOff>
    </xdr:from>
    <xdr:to>
      <xdr:col>75</xdr:col>
      <xdr:colOff>0</xdr:colOff>
      <xdr:row>10</xdr:row>
      <xdr:rowOff>0</xdr:rowOff>
    </xdr:to>
    <xdr:cxnSp macro="">
      <xdr:nvCxnSpPr>
        <xdr:cNvPr id="88" name="Straight Arrow Connector 87"/>
        <xdr:cNvCxnSpPr/>
      </xdr:nvCxnSpPr>
      <xdr:spPr>
        <a:xfrm>
          <a:off x="193776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4</xdr:col>
      <xdr:colOff>0</xdr:colOff>
      <xdr:row>9</xdr:row>
      <xdr:rowOff>0</xdr:rowOff>
    </xdr:to>
    <xdr:cxnSp macro="">
      <xdr:nvCxnSpPr>
        <xdr:cNvPr id="89" name="Straight Connector 88"/>
        <xdr:cNvCxnSpPr/>
      </xdr:nvCxnSpPr>
      <xdr:spPr>
        <a:xfrm>
          <a:off x="43434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0</xdr:rowOff>
    </xdr:from>
    <xdr:to>
      <xdr:col>8</xdr:col>
      <xdr:colOff>0</xdr:colOff>
      <xdr:row>9</xdr:row>
      <xdr:rowOff>0</xdr:rowOff>
    </xdr:to>
    <xdr:cxnSp macro="">
      <xdr:nvCxnSpPr>
        <xdr:cNvPr id="90" name="Straight Connector 89"/>
        <xdr:cNvCxnSpPr/>
      </xdr:nvCxnSpPr>
      <xdr:spPr>
        <a:xfrm>
          <a:off x="168402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9</xdr:row>
      <xdr:rowOff>0</xdr:rowOff>
    </xdr:to>
    <xdr:cxnSp macro="">
      <xdr:nvCxnSpPr>
        <xdr:cNvPr id="91" name="Straight Connector 90"/>
        <xdr:cNvCxnSpPr/>
      </xdr:nvCxnSpPr>
      <xdr:spPr>
        <a:xfrm>
          <a:off x="293370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9</xdr:row>
      <xdr:rowOff>0</xdr:rowOff>
    </xdr:from>
    <xdr:to>
      <xdr:col>16</xdr:col>
      <xdr:colOff>0</xdr:colOff>
      <xdr:row>9</xdr:row>
      <xdr:rowOff>0</xdr:rowOff>
    </xdr:to>
    <xdr:cxnSp macro="">
      <xdr:nvCxnSpPr>
        <xdr:cNvPr id="92" name="Straight Connector 91"/>
        <xdr:cNvCxnSpPr/>
      </xdr:nvCxnSpPr>
      <xdr:spPr>
        <a:xfrm>
          <a:off x="418338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25</xdr:row>
      <xdr:rowOff>0</xdr:rowOff>
    </xdr:from>
    <xdr:to>
      <xdr:col>4</xdr:col>
      <xdr:colOff>0</xdr:colOff>
      <xdr:row>25</xdr:row>
      <xdr:rowOff>0</xdr:rowOff>
    </xdr:to>
    <xdr:cxnSp macro="">
      <xdr:nvCxnSpPr>
        <xdr:cNvPr id="93" name="Straight Connector 92"/>
        <xdr:cNvCxnSpPr/>
      </xdr:nvCxnSpPr>
      <xdr:spPr>
        <a:xfrm>
          <a:off x="43434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25</xdr:row>
      <xdr:rowOff>0</xdr:rowOff>
    </xdr:to>
    <xdr:cxnSp macro="">
      <xdr:nvCxnSpPr>
        <xdr:cNvPr id="94" name="Straight Connector 93"/>
        <xdr:cNvCxnSpPr/>
      </xdr:nvCxnSpPr>
      <xdr:spPr>
        <a:xfrm>
          <a:off x="168402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</xdr:row>
      <xdr:rowOff>0</xdr:rowOff>
    </xdr:from>
    <xdr:to>
      <xdr:col>12</xdr:col>
      <xdr:colOff>0</xdr:colOff>
      <xdr:row>25</xdr:row>
      <xdr:rowOff>0</xdr:rowOff>
    </xdr:to>
    <xdr:cxnSp macro="">
      <xdr:nvCxnSpPr>
        <xdr:cNvPr id="95" name="Straight Connector 94"/>
        <xdr:cNvCxnSpPr/>
      </xdr:nvCxnSpPr>
      <xdr:spPr>
        <a:xfrm>
          <a:off x="293370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25</xdr:row>
      <xdr:rowOff>0</xdr:rowOff>
    </xdr:from>
    <xdr:to>
      <xdr:col>16</xdr:col>
      <xdr:colOff>0</xdr:colOff>
      <xdr:row>25</xdr:row>
      <xdr:rowOff>0</xdr:rowOff>
    </xdr:to>
    <xdr:cxnSp macro="">
      <xdr:nvCxnSpPr>
        <xdr:cNvPr id="96" name="Straight Connector 95"/>
        <xdr:cNvCxnSpPr/>
      </xdr:nvCxnSpPr>
      <xdr:spPr>
        <a:xfrm>
          <a:off x="418338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12</xdr:row>
      <xdr:rowOff>0</xdr:rowOff>
    </xdr:to>
    <xdr:cxnSp macro="">
      <xdr:nvCxnSpPr>
        <xdr:cNvPr id="97" name="Straight Connector 96"/>
        <xdr:cNvCxnSpPr/>
      </xdr:nvCxnSpPr>
      <xdr:spPr>
        <a:xfrm>
          <a:off x="121920" y="25222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0</xdr:rowOff>
    </xdr:from>
    <xdr:to>
      <xdr:col>1</xdr:col>
      <xdr:colOff>0</xdr:colOff>
      <xdr:row>16</xdr:row>
      <xdr:rowOff>0</xdr:rowOff>
    </xdr:to>
    <xdr:cxnSp macro="">
      <xdr:nvCxnSpPr>
        <xdr:cNvPr id="98" name="Straight Connector 97"/>
        <xdr:cNvCxnSpPr/>
      </xdr:nvCxnSpPr>
      <xdr:spPr>
        <a:xfrm>
          <a:off x="121920" y="35890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20</xdr:row>
      <xdr:rowOff>0</xdr:rowOff>
    </xdr:to>
    <xdr:cxnSp macro="">
      <xdr:nvCxnSpPr>
        <xdr:cNvPr id="99" name="Straight Connector 98"/>
        <xdr:cNvCxnSpPr/>
      </xdr:nvCxnSpPr>
      <xdr:spPr>
        <a:xfrm>
          <a:off x="121920" y="46558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0</xdr:colOff>
      <xdr:row>24</xdr:row>
      <xdr:rowOff>1</xdr:rowOff>
    </xdr:to>
    <xdr:cxnSp macro="">
      <xdr:nvCxnSpPr>
        <xdr:cNvPr id="100" name="Straight Connector 99"/>
        <xdr:cNvCxnSpPr/>
      </xdr:nvCxnSpPr>
      <xdr:spPr>
        <a:xfrm>
          <a:off x="121920" y="5722620"/>
          <a:ext cx="0" cy="533401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10</xdr:row>
      <xdr:rowOff>0</xdr:rowOff>
    </xdr:from>
    <xdr:to>
      <xdr:col>17</xdr:col>
      <xdr:colOff>0</xdr:colOff>
      <xdr:row>12</xdr:row>
      <xdr:rowOff>0</xdr:rowOff>
    </xdr:to>
    <xdr:cxnSp macro="">
      <xdr:nvCxnSpPr>
        <xdr:cNvPr id="101" name="Straight Connector 100"/>
        <xdr:cNvCxnSpPr/>
      </xdr:nvCxnSpPr>
      <xdr:spPr>
        <a:xfrm>
          <a:off x="5120640" y="25222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14</xdr:row>
      <xdr:rowOff>0</xdr:rowOff>
    </xdr:from>
    <xdr:to>
      <xdr:col>17</xdr:col>
      <xdr:colOff>0</xdr:colOff>
      <xdr:row>16</xdr:row>
      <xdr:rowOff>0</xdr:rowOff>
    </xdr:to>
    <xdr:cxnSp macro="">
      <xdr:nvCxnSpPr>
        <xdr:cNvPr id="102" name="Straight Connector 101"/>
        <xdr:cNvCxnSpPr/>
      </xdr:nvCxnSpPr>
      <xdr:spPr>
        <a:xfrm>
          <a:off x="5120640" y="35890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18</xdr:row>
      <xdr:rowOff>0</xdr:rowOff>
    </xdr:from>
    <xdr:to>
      <xdr:col>17</xdr:col>
      <xdr:colOff>0</xdr:colOff>
      <xdr:row>20</xdr:row>
      <xdr:rowOff>0</xdr:rowOff>
    </xdr:to>
    <xdr:cxnSp macro="">
      <xdr:nvCxnSpPr>
        <xdr:cNvPr id="103" name="Straight Connector 102"/>
        <xdr:cNvCxnSpPr/>
      </xdr:nvCxnSpPr>
      <xdr:spPr>
        <a:xfrm>
          <a:off x="5120640" y="46558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22</xdr:row>
      <xdr:rowOff>0</xdr:rowOff>
    </xdr:from>
    <xdr:to>
      <xdr:col>17</xdr:col>
      <xdr:colOff>0</xdr:colOff>
      <xdr:row>24</xdr:row>
      <xdr:rowOff>1</xdr:rowOff>
    </xdr:to>
    <xdr:cxnSp macro="">
      <xdr:nvCxnSpPr>
        <xdr:cNvPr id="104" name="Straight Connector 103"/>
        <xdr:cNvCxnSpPr/>
      </xdr:nvCxnSpPr>
      <xdr:spPr>
        <a:xfrm>
          <a:off x="5120640" y="5722620"/>
          <a:ext cx="0" cy="533401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20320</xdr:colOff>
      <xdr:row>8</xdr:row>
      <xdr:rowOff>30480</xdr:rowOff>
    </xdr:from>
    <xdr:to>
      <xdr:col>36</xdr:col>
      <xdr:colOff>20320</xdr:colOff>
      <xdr:row>12</xdr:row>
      <xdr:rowOff>204652</xdr:rowOff>
    </xdr:to>
    <xdr:cxnSp macro="">
      <xdr:nvCxnSpPr>
        <xdr:cNvPr id="105" name="Straight Connector 104"/>
        <xdr:cNvCxnSpPr/>
      </xdr:nvCxnSpPr>
      <xdr:spPr>
        <a:xfrm>
          <a:off x="9514840" y="2019300"/>
          <a:ext cx="1562100" cy="1240972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8</xdr:row>
      <xdr:rowOff>32657</xdr:rowOff>
    </xdr:from>
    <xdr:to>
      <xdr:col>36</xdr:col>
      <xdr:colOff>0</xdr:colOff>
      <xdr:row>13</xdr:row>
      <xdr:rowOff>0</xdr:rowOff>
    </xdr:to>
    <xdr:cxnSp macro="">
      <xdr:nvCxnSpPr>
        <xdr:cNvPr id="106" name="Straight Connector 105"/>
        <xdr:cNvCxnSpPr/>
      </xdr:nvCxnSpPr>
      <xdr:spPr>
        <a:xfrm flipV="1">
          <a:off x="9494520" y="2021477"/>
          <a:ext cx="1562100" cy="1300843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32657</xdr:colOff>
      <xdr:row>12</xdr:row>
      <xdr:rowOff>10885</xdr:rowOff>
    </xdr:from>
    <xdr:to>
      <xdr:col>14</xdr:col>
      <xdr:colOff>32657</xdr:colOff>
      <xdr:row>22</xdr:row>
      <xdr:rowOff>10885</xdr:rowOff>
    </xdr:to>
    <xdr:cxnSp macro="">
      <xdr:nvCxnSpPr>
        <xdr:cNvPr id="107" name="Straight Connector 106"/>
        <xdr:cNvCxnSpPr/>
      </xdr:nvCxnSpPr>
      <xdr:spPr>
        <a:xfrm flipV="1">
          <a:off x="1091837" y="3066505"/>
          <a:ext cx="3124200" cy="2667000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228599</xdr:colOff>
      <xdr:row>12</xdr:row>
      <xdr:rowOff>0</xdr:rowOff>
    </xdr:from>
    <xdr:to>
      <xdr:col>13</xdr:col>
      <xdr:colOff>228599</xdr:colOff>
      <xdr:row>22</xdr:row>
      <xdr:rowOff>0</xdr:rowOff>
    </xdr:to>
    <xdr:cxnSp macro="">
      <xdr:nvCxnSpPr>
        <xdr:cNvPr id="108" name="Straight Connector 107"/>
        <xdr:cNvCxnSpPr/>
      </xdr:nvCxnSpPr>
      <xdr:spPr>
        <a:xfrm>
          <a:off x="975359" y="3055620"/>
          <a:ext cx="3124200" cy="2667000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cxnSp macro="">
      <xdr:nvCxnSpPr>
        <xdr:cNvPr id="109" name="Straight Connector 108"/>
        <xdr:cNvCxnSpPr/>
      </xdr:nvCxnSpPr>
      <xdr:spPr>
        <a:xfrm flipV="1">
          <a:off x="11056620" y="35890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cxnSp macro="">
      <xdr:nvCxnSpPr>
        <xdr:cNvPr id="110" name="Straight Connector 109"/>
        <xdr:cNvCxnSpPr/>
      </xdr:nvCxnSpPr>
      <xdr:spPr>
        <a:xfrm>
          <a:off x="11056620" y="35890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cxnSp macro="">
      <xdr:nvCxnSpPr>
        <xdr:cNvPr id="111" name="Straight Connector 110"/>
        <xdr:cNvCxnSpPr/>
      </xdr:nvCxnSpPr>
      <xdr:spPr>
        <a:xfrm flipV="1">
          <a:off x="11056620" y="38557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cxnSp macro="">
      <xdr:nvCxnSpPr>
        <xdr:cNvPr id="112" name="Straight Connector 111"/>
        <xdr:cNvCxnSpPr/>
      </xdr:nvCxnSpPr>
      <xdr:spPr>
        <a:xfrm>
          <a:off x="11056620" y="38557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9</xdr:row>
      <xdr:rowOff>0</xdr:rowOff>
    </xdr:from>
    <xdr:to>
      <xdr:col>37</xdr:col>
      <xdr:colOff>0</xdr:colOff>
      <xdr:row>10</xdr:row>
      <xdr:rowOff>0</xdr:rowOff>
    </xdr:to>
    <xdr:cxnSp macro="">
      <xdr:nvCxnSpPr>
        <xdr:cNvPr id="113" name="Straight Connector 112"/>
        <xdr:cNvCxnSpPr/>
      </xdr:nvCxnSpPr>
      <xdr:spPr>
        <a:xfrm>
          <a:off x="11056620" y="22555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9</xdr:row>
      <xdr:rowOff>0</xdr:rowOff>
    </xdr:from>
    <xdr:to>
      <xdr:col>37</xdr:col>
      <xdr:colOff>0</xdr:colOff>
      <xdr:row>10</xdr:row>
      <xdr:rowOff>0</xdr:rowOff>
    </xdr:to>
    <xdr:cxnSp macro="">
      <xdr:nvCxnSpPr>
        <xdr:cNvPr id="114" name="Straight Connector 113"/>
        <xdr:cNvCxnSpPr/>
      </xdr:nvCxnSpPr>
      <xdr:spPr>
        <a:xfrm flipV="1">
          <a:off x="11056620" y="22555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10</xdr:row>
      <xdr:rowOff>0</xdr:rowOff>
    </xdr:from>
    <xdr:to>
      <xdr:col>37</xdr:col>
      <xdr:colOff>0</xdr:colOff>
      <xdr:row>11</xdr:row>
      <xdr:rowOff>0</xdr:rowOff>
    </xdr:to>
    <xdr:cxnSp macro="">
      <xdr:nvCxnSpPr>
        <xdr:cNvPr id="115" name="Straight Connector 114"/>
        <xdr:cNvCxnSpPr/>
      </xdr:nvCxnSpPr>
      <xdr:spPr>
        <a:xfrm>
          <a:off x="11056620" y="25222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10</xdr:row>
      <xdr:rowOff>0</xdr:rowOff>
    </xdr:from>
    <xdr:to>
      <xdr:col>37</xdr:col>
      <xdr:colOff>0</xdr:colOff>
      <xdr:row>11</xdr:row>
      <xdr:rowOff>0</xdr:rowOff>
    </xdr:to>
    <xdr:cxnSp macro="">
      <xdr:nvCxnSpPr>
        <xdr:cNvPr id="116" name="Straight Connector 115"/>
        <xdr:cNvCxnSpPr/>
      </xdr:nvCxnSpPr>
      <xdr:spPr>
        <a:xfrm flipV="1">
          <a:off x="11056620" y="25222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11</xdr:row>
      <xdr:rowOff>0</xdr:rowOff>
    </xdr:from>
    <xdr:to>
      <xdr:col>37</xdr:col>
      <xdr:colOff>0</xdr:colOff>
      <xdr:row>12</xdr:row>
      <xdr:rowOff>0</xdr:rowOff>
    </xdr:to>
    <xdr:cxnSp macro="">
      <xdr:nvCxnSpPr>
        <xdr:cNvPr id="117" name="Straight Connector 116"/>
        <xdr:cNvCxnSpPr/>
      </xdr:nvCxnSpPr>
      <xdr:spPr>
        <a:xfrm>
          <a:off x="11056620" y="27889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11</xdr:row>
      <xdr:rowOff>0</xdr:rowOff>
    </xdr:from>
    <xdr:to>
      <xdr:col>37</xdr:col>
      <xdr:colOff>0</xdr:colOff>
      <xdr:row>12</xdr:row>
      <xdr:rowOff>0</xdr:rowOff>
    </xdr:to>
    <xdr:cxnSp macro="">
      <xdr:nvCxnSpPr>
        <xdr:cNvPr id="118" name="Straight Connector 117"/>
        <xdr:cNvCxnSpPr/>
      </xdr:nvCxnSpPr>
      <xdr:spPr>
        <a:xfrm flipV="1">
          <a:off x="11056620" y="27889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12</xdr:row>
      <xdr:rowOff>0</xdr:rowOff>
    </xdr:from>
    <xdr:to>
      <xdr:col>37</xdr:col>
      <xdr:colOff>0</xdr:colOff>
      <xdr:row>13</xdr:row>
      <xdr:rowOff>0</xdr:rowOff>
    </xdr:to>
    <xdr:cxnSp macro="">
      <xdr:nvCxnSpPr>
        <xdr:cNvPr id="119" name="Straight Connector 118"/>
        <xdr:cNvCxnSpPr/>
      </xdr:nvCxnSpPr>
      <xdr:spPr>
        <a:xfrm>
          <a:off x="11056620" y="30556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12</xdr:row>
      <xdr:rowOff>0</xdr:rowOff>
    </xdr:from>
    <xdr:to>
      <xdr:col>37</xdr:col>
      <xdr:colOff>0</xdr:colOff>
      <xdr:row>13</xdr:row>
      <xdr:rowOff>0</xdr:rowOff>
    </xdr:to>
    <xdr:cxnSp macro="">
      <xdr:nvCxnSpPr>
        <xdr:cNvPr id="120" name="Straight Connector 119"/>
        <xdr:cNvCxnSpPr/>
      </xdr:nvCxnSpPr>
      <xdr:spPr>
        <a:xfrm flipV="1">
          <a:off x="11056620" y="30556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23</xdr:row>
      <xdr:rowOff>0</xdr:rowOff>
    </xdr:from>
    <xdr:to>
      <xdr:col>78</xdr:col>
      <xdr:colOff>0</xdr:colOff>
      <xdr:row>23</xdr:row>
      <xdr:rowOff>0</xdr:rowOff>
    </xdr:to>
    <xdr:cxnSp macro="">
      <xdr:nvCxnSpPr>
        <xdr:cNvPr id="121" name="Straight Arrow Connector 120"/>
        <xdr:cNvCxnSpPr/>
      </xdr:nvCxnSpPr>
      <xdr:spPr>
        <a:xfrm>
          <a:off x="200177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21</xdr:row>
      <xdr:rowOff>0</xdr:rowOff>
    </xdr:from>
    <xdr:to>
      <xdr:col>78</xdr:col>
      <xdr:colOff>0</xdr:colOff>
      <xdr:row>21</xdr:row>
      <xdr:rowOff>0</xdr:rowOff>
    </xdr:to>
    <xdr:cxnSp macro="">
      <xdr:nvCxnSpPr>
        <xdr:cNvPr id="122" name="Straight Arrow Connector 121"/>
        <xdr:cNvCxnSpPr/>
      </xdr:nvCxnSpPr>
      <xdr:spPr>
        <a:xfrm>
          <a:off x="200177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19</xdr:row>
      <xdr:rowOff>0</xdr:rowOff>
    </xdr:from>
    <xdr:to>
      <xdr:col>78</xdr:col>
      <xdr:colOff>0</xdr:colOff>
      <xdr:row>19</xdr:row>
      <xdr:rowOff>0</xdr:rowOff>
    </xdr:to>
    <xdr:cxnSp macro="">
      <xdr:nvCxnSpPr>
        <xdr:cNvPr id="123" name="Straight Arrow Connector 122"/>
        <xdr:cNvCxnSpPr/>
      </xdr:nvCxnSpPr>
      <xdr:spPr>
        <a:xfrm>
          <a:off x="200177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12</xdr:row>
      <xdr:rowOff>0</xdr:rowOff>
    </xdr:from>
    <xdr:to>
      <xdr:col>78</xdr:col>
      <xdr:colOff>0</xdr:colOff>
      <xdr:row>12</xdr:row>
      <xdr:rowOff>0</xdr:rowOff>
    </xdr:to>
    <xdr:cxnSp macro="">
      <xdr:nvCxnSpPr>
        <xdr:cNvPr id="124" name="Straight Arrow Connector 123"/>
        <xdr:cNvCxnSpPr/>
      </xdr:nvCxnSpPr>
      <xdr:spPr>
        <a:xfrm>
          <a:off x="200177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10</xdr:row>
      <xdr:rowOff>0</xdr:rowOff>
    </xdr:from>
    <xdr:to>
      <xdr:col>78</xdr:col>
      <xdr:colOff>0</xdr:colOff>
      <xdr:row>10</xdr:row>
      <xdr:rowOff>0</xdr:rowOff>
    </xdr:to>
    <xdr:cxnSp macro="">
      <xdr:nvCxnSpPr>
        <xdr:cNvPr id="125" name="Straight Arrow Connector 124"/>
        <xdr:cNvCxnSpPr/>
      </xdr:nvCxnSpPr>
      <xdr:spPr>
        <a:xfrm>
          <a:off x="200177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23</xdr:row>
      <xdr:rowOff>0</xdr:rowOff>
    </xdr:from>
    <xdr:to>
      <xdr:col>79</xdr:col>
      <xdr:colOff>0</xdr:colOff>
      <xdr:row>23</xdr:row>
      <xdr:rowOff>0</xdr:rowOff>
    </xdr:to>
    <xdr:cxnSp macro="">
      <xdr:nvCxnSpPr>
        <xdr:cNvPr id="126" name="Straight Arrow Connector 125"/>
        <xdr:cNvCxnSpPr/>
      </xdr:nvCxnSpPr>
      <xdr:spPr>
        <a:xfrm>
          <a:off x="202311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21</xdr:row>
      <xdr:rowOff>0</xdr:rowOff>
    </xdr:from>
    <xdr:to>
      <xdr:col>79</xdr:col>
      <xdr:colOff>0</xdr:colOff>
      <xdr:row>21</xdr:row>
      <xdr:rowOff>0</xdr:rowOff>
    </xdr:to>
    <xdr:cxnSp macro="">
      <xdr:nvCxnSpPr>
        <xdr:cNvPr id="127" name="Straight Arrow Connector 126"/>
        <xdr:cNvCxnSpPr/>
      </xdr:nvCxnSpPr>
      <xdr:spPr>
        <a:xfrm>
          <a:off x="202311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19</xdr:row>
      <xdr:rowOff>0</xdr:rowOff>
    </xdr:from>
    <xdr:to>
      <xdr:col>79</xdr:col>
      <xdr:colOff>0</xdr:colOff>
      <xdr:row>19</xdr:row>
      <xdr:rowOff>0</xdr:rowOff>
    </xdr:to>
    <xdr:cxnSp macro="">
      <xdr:nvCxnSpPr>
        <xdr:cNvPr id="128" name="Straight Arrow Connector 127"/>
        <xdr:cNvCxnSpPr/>
      </xdr:nvCxnSpPr>
      <xdr:spPr>
        <a:xfrm>
          <a:off x="202311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12</xdr:row>
      <xdr:rowOff>0</xdr:rowOff>
    </xdr:from>
    <xdr:to>
      <xdr:col>79</xdr:col>
      <xdr:colOff>0</xdr:colOff>
      <xdr:row>12</xdr:row>
      <xdr:rowOff>0</xdr:rowOff>
    </xdr:to>
    <xdr:cxnSp macro="">
      <xdr:nvCxnSpPr>
        <xdr:cNvPr id="129" name="Straight Arrow Connector 128"/>
        <xdr:cNvCxnSpPr/>
      </xdr:nvCxnSpPr>
      <xdr:spPr>
        <a:xfrm>
          <a:off x="202311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10</xdr:row>
      <xdr:rowOff>0</xdr:rowOff>
    </xdr:from>
    <xdr:to>
      <xdr:col>79</xdr:col>
      <xdr:colOff>0</xdr:colOff>
      <xdr:row>10</xdr:row>
      <xdr:rowOff>0</xdr:rowOff>
    </xdr:to>
    <xdr:cxnSp macro="">
      <xdr:nvCxnSpPr>
        <xdr:cNvPr id="130" name="Straight Arrow Connector 129"/>
        <xdr:cNvCxnSpPr/>
      </xdr:nvCxnSpPr>
      <xdr:spPr>
        <a:xfrm>
          <a:off x="202311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23</xdr:row>
      <xdr:rowOff>0</xdr:rowOff>
    </xdr:from>
    <xdr:to>
      <xdr:col>80</xdr:col>
      <xdr:colOff>0</xdr:colOff>
      <xdr:row>23</xdr:row>
      <xdr:rowOff>0</xdr:rowOff>
    </xdr:to>
    <xdr:cxnSp macro="">
      <xdr:nvCxnSpPr>
        <xdr:cNvPr id="131" name="Straight Arrow Connector 130"/>
        <xdr:cNvCxnSpPr/>
      </xdr:nvCxnSpPr>
      <xdr:spPr>
        <a:xfrm>
          <a:off x="204444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21</xdr:row>
      <xdr:rowOff>0</xdr:rowOff>
    </xdr:from>
    <xdr:to>
      <xdr:col>80</xdr:col>
      <xdr:colOff>0</xdr:colOff>
      <xdr:row>21</xdr:row>
      <xdr:rowOff>0</xdr:rowOff>
    </xdr:to>
    <xdr:cxnSp macro="">
      <xdr:nvCxnSpPr>
        <xdr:cNvPr id="132" name="Straight Arrow Connector 131"/>
        <xdr:cNvCxnSpPr/>
      </xdr:nvCxnSpPr>
      <xdr:spPr>
        <a:xfrm>
          <a:off x="204444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19</xdr:row>
      <xdr:rowOff>0</xdr:rowOff>
    </xdr:from>
    <xdr:to>
      <xdr:col>80</xdr:col>
      <xdr:colOff>0</xdr:colOff>
      <xdr:row>19</xdr:row>
      <xdr:rowOff>0</xdr:rowOff>
    </xdr:to>
    <xdr:cxnSp macro="">
      <xdr:nvCxnSpPr>
        <xdr:cNvPr id="133" name="Straight Arrow Connector 132"/>
        <xdr:cNvCxnSpPr/>
      </xdr:nvCxnSpPr>
      <xdr:spPr>
        <a:xfrm>
          <a:off x="204444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12</xdr:row>
      <xdr:rowOff>0</xdr:rowOff>
    </xdr:from>
    <xdr:to>
      <xdr:col>80</xdr:col>
      <xdr:colOff>0</xdr:colOff>
      <xdr:row>12</xdr:row>
      <xdr:rowOff>0</xdr:rowOff>
    </xdr:to>
    <xdr:cxnSp macro="">
      <xdr:nvCxnSpPr>
        <xdr:cNvPr id="134" name="Straight Arrow Connector 133"/>
        <xdr:cNvCxnSpPr/>
      </xdr:nvCxnSpPr>
      <xdr:spPr>
        <a:xfrm>
          <a:off x="204444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10</xdr:row>
      <xdr:rowOff>0</xdr:rowOff>
    </xdr:from>
    <xdr:to>
      <xdr:col>80</xdr:col>
      <xdr:colOff>0</xdr:colOff>
      <xdr:row>10</xdr:row>
      <xdr:rowOff>0</xdr:rowOff>
    </xdr:to>
    <xdr:cxnSp macro="">
      <xdr:nvCxnSpPr>
        <xdr:cNvPr id="135" name="Straight Arrow Connector 134"/>
        <xdr:cNvCxnSpPr/>
      </xdr:nvCxnSpPr>
      <xdr:spPr>
        <a:xfrm>
          <a:off x="204444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23</xdr:row>
      <xdr:rowOff>0</xdr:rowOff>
    </xdr:from>
    <xdr:to>
      <xdr:col>81</xdr:col>
      <xdr:colOff>0</xdr:colOff>
      <xdr:row>23</xdr:row>
      <xdr:rowOff>0</xdr:rowOff>
    </xdr:to>
    <xdr:cxnSp macro="">
      <xdr:nvCxnSpPr>
        <xdr:cNvPr id="136" name="Straight Arrow Connector 135"/>
        <xdr:cNvCxnSpPr/>
      </xdr:nvCxnSpPr>
      <xdr:spPr>
        <a:xfrm>
          <a:off x="206578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21</xdr:row>
      <xdr:rowOff>0</xdr:rowOff>
    </xdr:from>
    <xdr:to>
      <xdr:col>81</xdr:col>
      <xdr:colOff>0</xdr:colOff>
      <xdr:row>21</xdr:row>
      <xdr:rowOff>0</xdr:rowOff>
    </xdr:to>
    <xdr:cxnSp macro="">
      <xdr:nvCxnSpPr>
        <xdr:cNvPr id="137" name="Straight Arrow Connector 136"/>
        <xdr:cNvCxnSpPr/>
      </xdr:nvCxnSpPr>
      <xdr:spPr>
        <a:xfrm>
          <a:off x="206578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19</xdr:row>
      <xdr:rowOff>0</xdr:rowOff>
    </xdr:from>
    <xdr:to>
      <xdr:col>81</xdr:col>
      <xdr:colOff>0</xdr:colOff>
      <xdr:row>19</xdr:row>
      <xdr:rowOff>0</xdr:rowOff>
    </xdr:to>
    <xdr:cxnSp macro="">
      <xdr:nvCxnSpPr>
        <xdr:cNvPr id="138" name="Straight Arrow Connector 137"/>
        <xdr:cNvCxnSpPr/>
      </xdr:nvCxnSpPr>
      <xdr:spPr>
        <a:xfrm>
          <a:off x="206578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12</xdr:row>
      <xdr:rowOff>0</xdr:rowOff>
    </xdr:from>
    <xdr:to>
      <xdr:col>81</xdr:col>
      <xdr:colOff>0</xdr:colOff>
      <xdr:row>12</xdr:row>
      <xdr:rowOff>0</xdr:rowOff>
    </xdr:to>
    <xdr:cxnSp macro="">
      <xdr:nvCxnSpPr>
        <xdr:cNvPr id="139" name="Straight Arrow Connector 138"/>
        <xdr:cNvCxnSpPr/>
      </xdr:nvCxnSpPr>
      <xdr:spPr>
        <a:xfrm>
          <a:off x="206578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10</xdr:row>
      <xdr:rowOff>0</xdr:rowOff>
    </xdr:from>
    <xdr:to>
      <xdr:col>81</xdr:col>
      <xdr:colOff>0</xdr:colOff>
      <xdr:row>10</xdr:row>
      <xdr:rowOff>0</xdr:rowOff>
    </xdr:to>
    <xdr:cxnSp macro="">
      <xdr:nvCxnSpPr>
        <xdr:cNvPr id="140" name="Straight Arrow Connector 139"/>
        <xdr:cNvCxnSpPr/>
      </xdr:nvCxnSpPr>
      <xdr:spPr>
        <a:xfrm>
          <a:off x="206578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23</xdr:row>
      <xdr:rowOff>0</xdr:rowOff>
    </xdr:from>
    <xdr:to>
      <xdr:col>83</xdr:col>
      <xdr:colOff>0</xdr:colOff>
      <xdr:row>23</xdr:row>
      <xdr:rowOff>0</xdr:rowOff>
    </xdr:to>
    <xdr:cxnSp macro="">
      <xdr:nvCxnSpPr>
        <xdr:cNvPr id="141" name="Straight Arrow Connector 140"/>
        <xdr:cNvCxnSpPr/>
      </xdr:nvCxnSpPr>
      <xdr:spPr>
        <a:xfrm>
          <a:off x="210845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21</xdr:row>
      <xdr:rowOff>0</xdr:rowOff>
    </xdr:from>
    <xdr:to>
      <xdr:col>83</xdr:col>
      <xdr:colOff>0</xdr:colOff>
      <xdr:row>21</xdr:row>
      <xdr:rowOff>0</xdr:rowOff>
    </xdr:to>
    <xdr:cxnSp macro="">
      <xdr:nvCxnSpPr>
        <xdr:cNvPr id="142" name="Straight Arrow Connector 141"/>
        <xdr:cNvCxnSpPr/>
      </xdr:nvCxnSpPr>
      <xdr:spPr>
        <a:xfrm>
          <a:off x="210845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19</xdr:row>
      <xdr:rowOff>0</xdr:rowOff>
    </xdr:from>
    <xdr:to>
      <xdr:col>83</xdr:col>
      <xdr:colOff>0</xdr:colOff>
      <xdr:row>19</xdr:row>
      <xdr:rowOff>0</xdr:rowOff>
    </xdr:to>
    <xdr:cxnSp macro="">
      <xdr:nvCxnSpPr>
        <xdr:cNvPr id="143" name="Straight Arrow Connector 142"/>
        <xdr:cNvCxnSpPr/>
      </xdr:nvCxnSpPr>
      <xdr:spPr>
        <a:xfrm>
          <a:off x="210845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12</xdr:row>
      <xdr:rowOff>0</xdr:rowOff>
    </xdr:from>
    <xdr:to>
      <xdr:col>83</xdr:col>
      <xdr:colOff>0</xdr:colOff>
      <xdr:row>12</xdr:row>
      <xdr:rowOff>0</xdr:rowOff>
    </xdr:to>
    <xdr:cxnSp macro="">
      <xdr:nvCxnSpPr>
        <xdr:cNvPr id="144" name="Straight Arrow Connector 143"/>
        <xdr:cNvCxnSpPr/>
      </xdr:nvCxnSpPr>
      <xdr:spPr>
        <a:xfrm>
          <a:off x="210845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10</xdr:row>
      <xdr:rowOff>0</xdr:rowOff>
    </xdr:from>
    <xdr:to>
      <xdr:col>83</xdr:col>
      <xdr:colOff>0</xdr:colOff>
      <xdr:row>10</xdr:row>
      <xdr:rowOff>0</xdr:rowOff>
    </xdr:to>
    <xdr:cxnSp macro="">
      <xdr:nvCxnSpPr>
        <xdr:cNvPr id="145" name="Straight Arrow Connector 144"/>
        <xdr:cNvCxnSpPr/>
      </xdr:nvCxnSpPr>
      <xdr:spPr>
        <a:xfrm>
          <a:off x="210845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23</xdr:row>
      <xdr:rowOff>0</xdr:rowOff>
    </xdr:from>
    <xdr:to>
      <xdr:col>86</xdr:col>
      <xdr:colOff>0</xdr:colOff>
      <xdr:row>23</xdr:row>
      <xdr:rowOff>0</xdr:rowOff>
    </xdr:to>
    <xdr:cxnSp macro="">
      <xdr:nvCxnSpPr>
        <xdr:cNvPr id="146" name="Straight Arrow Connector 145"/>
        <xdr:cNvCxnSpPr/>
      </xdr:nvCxnSpPr>
      <xdr:spPr>
        <a:xfrm>
          <a:off x="217246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21</xdr:row>
      <xdr:rowOff>0</xdr:rowOff>
    </xdr:from>
    <xdr:to>
      <xdr:col>86</xdr:col>
      <xdr:colOff>0</xdr:colOff>
      <xdr:row>21</xdr:row>
      <xdr:rowOff>0</xdr:rowOff>
    </xdr:to>
    <xdr:cxnSp macro="">
      <xdr:nvCxnSpPr>
        <xdr:cNvPr id="147" name="Straight Arrow Connector 146"/>
        <xdr:cNvCxnSpPr/>
      </xdr:nvCxnSpPr>
      <xdr:spPr>
        <a:xfrm>
          <a:off x="217246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19</xdr:row>
      <xdr:rowOff>0</xdr:rowOff>
    </xdr:from>
    <xdr:to>
      <xdr:col>86</xdr:col>
      <xdr:colOff>0</xdr:colOff>
      <xdr:row>19</xdr:row>
      <xdr:rowOff>0</xdr:rowOff>
    </xdr:to>
    <xdr:cxnSp macro="">
      <xdr:nvCxnSpPr>
        <xdr:cNvPr id="148" name="Straight Arrow Connector 147"/>
        <xdr:cNvCxnSpPr/>
      </xdr:nvCxnSpPr>
      <xdr:spPr>
        <a:xfrm>
          <a:off x="217246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12</xdr:row>
      <xdr:rowOff>0</xdr:rowOff>
    </xdr:from>
    <xdr:to>
      <xdr:col>86</xdr:col>
      <xdr:colOff>0</xdr:colOff>
      <xdr:row>12</xdr:row>
      <xdr:rowOff>0</xdr:rowOff>
    </xdr:to>
    <xdr:cxnSp macro="">
      <xdr:nvCxnSpPr>
        <xdr:cNvPr id="149" name="Straight Arrow Connector 148"/>
        <xdr:cNvCxnSpPr/>
      </xdr:nvCxnSpPr>
      <xdr:spPr>
        <a:xfrm>
          <a:off x="217246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10</xdr:row>
      <xdr:rowOff>0</xdr:rowOff>
    </xdr:from>
    <xdr:to>
      <xdr:col>86</xdr:col>
      <xdr:colOff>0</xdr:colOff>
      <xdr:row>10</xdr:row>
      <xdr:rowOff>0</xdr:rowOff>
    </xdr:to>
    <xdr:cxnSp macro="">
      <xdr:nvCxnSpPr>
        <xdr:cNvPr id="150" name="Straight Arrow Connector 149"/>
        <xdr:cNvCxnSpPr/>
      </xdr:nvCxnSpPr>
      <xdr:spPr>
        <a:xfrm>
          <a:off x="217246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23</xdr:row>
      <xdr:rowOff>0</xdr:rowOff>
    </xdr:from>
    <xdr:to>
      <xdr:col>87</xdr:col>
      <xdr:colOff>0</xdr:colOff>
      <xdr:row>23</xdr:row>
      <xdr:rowOff>0</xdr:rowOff>
    </xdr:to>
    <xdr:cxnSp macro="">
      <xdr:nvCxnSpPr>
        <xdr:cNvPr id="151" name="Straight Arrow Connector 150"/>
        <xdr:cNvCxnSpPr/>
      </xdr:nvCxnSpPr>
      <xdr:spPr>
        <a:xfrm>
          <a:off x="219379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21</xdr:row>
      <xdr:rowOff>0</xdr:rowOff>
    </xdr:from>
    <xdr:to>
      <xdr:col>87</xdr:col>
      <xdr:colOff>0</xdr:colOff>
      <xdr:row>21</xdr:row>
      <xdr:rowOff>0</xdr:rowOff>
    </xdr:to>
    <xdr:cxnSp macro="">
      <xdr:nvCxnSpPr>
        <xdr:cNvPr id="152" name="Straight Arrow Connector 151"/>
        <xdr:cNvCxnSpPr/>
      </xdr:nvCxnSpPr>
      <xdr:spPr>
        <a:xfrm>
          <a:off x="219379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19</xdr:row>
      <xdr:rowOff>0</xdr:rowOff>
    </xdr:from>
    <xdr:to>
      <xdr:col>87</xdr:col>
      <xdr:colOff>0</xdr:colOff>
      <xdr:row>19</xdr:row>
      <xdr:rowOff>0</xdr:rowOff>
    </xdr:to>
    <xdr:cxnSp macro="">
      <xdr:nvCxnSpPr>
        <xdr:cNvPr id="153" name="Straight Arrow Connector 152"/>
        <xdr:cNvCxnSpPr/>
      </xdr:nvCxnSpPr>
      <xdr:spPr>
        <a:xfrm>
          <a:off x="219379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12</xdr:row>
      <xdr:rowOff>0</xdr:rowOff>
    </xdr:from>
    <xdr:to>
      <xdr:col>87</xdr:col>
      <xdr:colOff>0</xdr:colOff>
      <xdr:row>12</xdr:row>
      <xdr:rowOff>0</xdr:rowOff>
    </xdr:to>
    <xdr:cxnSp macro="">
      <xdr:nvCxnSpPr>
        <xdr:cNvPr id="154" name="Straight Arrow Connector 153"/>
        <xdr:cNvCxnSpPr/>
      </xdr:nvCxnSpPr>
      <xdr:spPr>
        <a:xfrm>
          <a:off x="219379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10</xdr:row>
      <xdr:rowOff>0</xdr:rowOff>
    </xdr:from>
    <xdr:to>
      <xdr:col>87</xdr:col>
      <xdr:colOff>0</xdr:colOff>
      <xdr:row>10</xdr:row>
      <xdr:rowOff>0</xdr:rowOff>
    </xdr:to>
    <xdr:cxnSp macro="">
      <xdr:nvCxnSpPr>
        <xdr:cNvPr id="155" name="Straight Arrow Connector 154"/>
        <xdr:cNvCxnSpPr/>
      </xdr:nvCxnSpPr>
      <xdr:spPr>
        <a:xfrm>
          <a:off x="219379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23</xdr:row>
      <xdr:rowOff>0</xdr:rowOff>
    </xdr:from>
    <xdr:to>
      <xdr:col>88</xdr:col>
      <xdr:colOff>0</xdr:colOff>
      <xdr:row>23</xdr:row>
      <xdr:rowOff>0</xdr:rowOff>
    </xdr:to>
    <xdr:cxnSp macro="">
      <xdr:nvCxnSpPr>
        <xdr:cNvPr id="156" name="Straight Arrow Connector 155"/>
        <xdr:cNvCxnSpPr/>
      </xdr:nvCxnSpPr>
      <xdr:spPr>
        <a:xfrm>
          <a:off x="221513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21</xdr:row>
      <xdr:rowOff>0</xdr:rowOff>
    </xdr:from>
    <xdr:to>
      <xdr:col>88</xdr:col>
      <xdr:colOff>0</xdr:colOff>
      <xdr:row>21</xdr:row>
      <xdr:rowOff>0</xdr:rowOff>
    </xdr:to>
    <xdr:cxnSp macro="">
      <xdr:nvCxnSpPr>
        <xdr:cNvPr id="157" name="Straight Arrow Connector 156"/>
        <xdr:cNvCxnSpPr/>
      </xdr:nvCxnSpPr>
      <xdr:spPr>
        <a:xfrm>
          <a:off x="221513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19</xdr:row>
      <xdr:rowOff>0</xdr:rowOff>
    </xdr:from>
    <xdr:to>
      <xdr:col>88</xdr:col>
      <xdr:colOff>0</xdr:colOff>
      <xdr:row>19</xdr:row>
      <xdr:rowOff>0</xdr:rowOff>
    </xdr:to>
    <xdr:cxnSp macro="">
      <xdr:nvCxnSpPr>
        <xdr:cNvPr id="158" name="Straight Arrow Connector 157"/>
        <xdr:cNvCxnSpPr/>
      </xdr:nvCxnSpPr>
      <xdr:spPr>
        <a:xfrm>
          <a:off x="221513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12</xdr:row>
      <xdr:rowOff>0</xdr:rowOff>
    </xdr:from>
    <xdr:to>
      <xdr:col>88</xdr:col>
      <xdr:colOff>0</xdr:colOff>
      <xdr:row>12</xdr:row>
      <xdr:rowOff>0</xdr:rowOff>
    </xdr:to>
    <xdr:cxnSp macro="">
      <xdr:nvCxnSpPr>
        <xdr:cNvPr id="159" name="Straight Arrow Connector 158"/>
        <xdr:cNvCxnSpPr/>
      </xdr:nvCxnSpPr>
      <xdr:spPr>
        <a:xfrm>
          <a:off x="221513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10</xdr:row>
      <xdr:rowOff>0</xdr:rowOff>
    </xdr:from>
    <xdr:to>
      <xdr:col>88</xdr:col>
      <xdr:colOff>0</xdr:colOff>
      <xdr:row>10</xdr:row>
      <xdr:rowOff>0</xdr:rowOff>
    </xdr:to>
    <xdr:cxnSp macro="">
      <xdr:nvCxnSpPr>
        <xdr:cNvPr id="160" name="Straight Arrow Connector 159"/>
        <xdr:cNvCxnSpPr/>
      </xdr:nvCxnSpPr>
      <xdr:spPr>
        <a:xfrm>
          <a:off x="221513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23</xdr:row>
      <xdr:rowOff>0</xdr:rowOff>
    </xdr:from>
    <xdr:to>
      <xdr:col>89</xdr:col>
      <xdr:colOff>0</xdr:colOff>
      <xdr:row>23</xdr:row>
      <xdr:rowOff>0</xdr:rowOff>
    </xdr:to>
    <xdr:cxnSp macro="">
      <xdr:nvCxnSpPr>
        <xdr:cNvPr id="161" name="Straight Arrow Connector 160"/>
        <xdr:cNvCxnSpPr/>
      </xdr:nvCxnSpPr>
      <xdr:spPr>
        <a:xfrm>
          <a:off x="223647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21</xdr:row>
      <xdr:rowOff>0</xdr:rowOff>
    </xdr:from>
    <xdr:to>
      <xdr:col>89</xdr:col>
      <xdr:colOff>0</xdr:colOff>
      <xdr:row>21</xdr:row>
      <xdr:rowOff>0</xdr:rowOff>
    </xdr:to>
    <xdr:cxnSp macro="">
      <xdr:nvCxnSpPr>
        <xdr:cNvPr id="162" name="Straight Arrow Connector 161"/>
        <xdr:cNvCxnSpPr/>
      </xdr:nvCxnSpPr>
      <xdr:spPr>
        <a:xfrm>
          <a:off x="223647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19</xdr:row>
      <xdr:rowOff>0</xdr:rowOff>
    </xdr:from>
    <xdr:to>
      <xdr:col>89</xdr:col>
      <xdr:colOff>0</xdr:colOff>
      <xdr:row>19</xdr:row>
      <xdr:rowOff>0</xdr:rowOff>
    </xdr:to>
    <xdr:cxnSp macro="">
      <xdr:nvCxnSpPr>
        <xdr:cNvPr id="163" name="Straight Arrow Connector 162"/>
        <xdr:cNvCxnSpPr/>
      </xdr:nvCxnSpPr>
      <xdr:spPr>
        <a:xfrm>
          <a:off x="223647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12</xdr:row>
      <xdr:rowOff>0</xdr:rowOff>
    </xdr:from>
    <xdr:to>
      <xdr:col>89</xdr:col>
      <xdr:colOff>0</xdr:colOff>
      <xdr:row>12</xdr:row>
      <xdr:rowOff>0</xdr:rowOff>
    </xdr:to>
    <xdr:cxnSp macro="">
      <xdr:nvCxnSpPr>
        <xdr:cNvPr id="164" name="Straight Arrow Connector 163"/>
        <xdr:cNvCxnSpPr/>
      </xdr:nvCxnSpPr>
      <xdr:spPr>
        <a:xfrm>
          <a:off x="223647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10</xdr:row>
      <xdr:rowOff>0</xdr:rowOff>
    </xdr:from>
    <xdr:to>
      <xdr:col>89</xdr:col>
      <xdr:colOff>0</xdr:colOff>
      <xdr:row>10</xdr:row>
      <xdr:rowOff>0</xdr:rowOff>
    </xdr:to>
    <xdr:cxnSp macro="">
      <xdr:nvCxnSpPr>
        <xdr:cNvPr id="165" name="Straight Arrow Connector 164"/>
        <xdr:cNvCxnSpPr/>
      </xdr:nvCxnSpPr>
      <xdr:spPr>
        <a:xfrm>
          <a:off x="223647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23</xdr:row>
      <xdr:rowOff>0</xdr:rowOff>
    </xdr:from>
    <xdr:to>
      <xdr:col>91</xdr:col>
      <xdr:colOff>0</xdr:colOff>
      <xdr:row>23</xdr:row>
      <xdr:rowOff>0</xdr:rowOff>
    </xdr:to>
    <xdr:cxnSp macro="">
      <xdr:nvCxnSpPr>
        <xdr:cNvPr id="166" name="Straight Arrow Connector 165"/>
        <xdr:cNvCxnSpPr/>
      </xdr:nvCxnSpPr>
      <xdr:spPr>
        <a:xfrm>
          <a:off x="227914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21</xdr:row>
      <xdr:rowOff>0</xdr:rowOff>
    </xdr:from>
    <xdr:to>
      <xdr:col>91</xdr:col>
      <xdr:colOff>0</xdr:colOff>
      <xdr:row>21</xdr:row>
      <xdr:rowOff>0</xdr:rowOff>
    </xdr:to>
    <xdr:cxnSp macro="">
      <xdr:nvCxnSpPr>
        <xdr:cNvPr id="167" name="Straight Arrow Connector 166"/>
        <xdr:cNvCxnSpPr/>
      </xdr:nvCxnSpPr>
      <xdr:spPr>
        <a:xfrm>
          <a:off x="227914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19</xdr:row>
      <xdr:rowOff>0</xdr:rowOff>
    </xdr:from>
    <xdr:to>
      <xdr:col>91</xdr:col>
      <xdr:colOff>0</xdr:colOff>
      <xdr:row>19</xdr:row>
      <xdr:rowOff>0</xdr:rowOff>
    </xdr:to>
    <xdr:cxnSp macro="">
      <xdr:nvCxnSpPr>
        <xdr:cNvPr id="168" name="Straight Arrow Connector 167"/>
        <xdr:cNvCxnSpPr/>
      </xdr:nvCxnSpPr>
      <xdr:spPr>
        <a:xfrm>
          <a:off x="227914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12</xdr:row>
      <xdr:rowOff>0</xdr:rowOff>
    </xdr:from>
    <xdr:to>
      <xdr:col>91</xdr:col>
      <xdr:colOff>0</xdr:colOff>
      <xdr:row>12</xdr:row>
      <xdr:rowOff>0</xdr:rowOff>
    </xdr:to>
    <xdr:cxnSp macro="">
      <xdr:nvCxnSpPr>
        <xdr:cNvPr id="169" name="Straight Arrow Connector 168"/>
        <xdr:cNvCxnSpPr/>
      </xdr:nvCxnSpPr>
      <xdr:spPr>
        <a:xfrm>
          <a:off x="227914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10</xdr:row>
      <xdr:rowOff>0</xdr:rowOff>
    </xdr:from>
    <xdr:to>
      <xdr:col>91</xdr:col>
      <xdr:colOff>0</xdr:colOff>
      <xdr:row>10</xdr:row>
      <xdr:rowOff>0</xdr:rowOff>
    </xdr:to>
    <xdr:cxnSp macro="">
      <xdr:nvCxnSpPr>
        <xdr:cNvPr id="170" name="Straight Arrow Connector 169"/>
        <xdr:cNvCxnSpPr/>
      </xdr:nvCxnSpPr>
      <xdr:spPr>
        <a:xfrm>
          <a:off x="227914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23</xdr:row>
      <xdr:rowOff>0</xdr:rowOff>
    </xdr:from>
    <xdr:to>
      <xdr:col>94</xdr:col>
      <xdr:colOff>0</xdr:colOff>
      <xdr:row>23</xdr:row>
      <xdr:rowOff>0</xdr:rowOff>
    </xdr:to>
    <xdr:cxnSp macro="">
      <xdr:nvCxnSpPr>
        <xdr:cNvPr id="171" name="Straight Arrow Connector 170"/>
        <xdr:cNvCxnSpPr/>
      </xdr:nvCxnSpPr>
      <xdr:spPr>
        <a:xfrm>
          <a:off x="234315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21</xdr:row>
      <xdr:rowOff>0</xdr:rowOff>
    </xdr:from>
    <xdr:to>
      <xdr:col>94</xdr:col>
      <xdr:colOff>0</xdr:colOff>
      <xdr:row>21</xdr:row>
      <xdr:rowOff>0</xdr:rowOff>
    </xdr:to>
    <xdr:cxnSp macro="">
      <xdr:nvCxnSpPr>
        <xdr:cNvPr id="172" name="Straight Arrow Connector 171"/>
        <xdr:cNvCxnSpPr/>
      </xdr:nvCxnSpPr>
      <xdr:spPr>
        <a:xfrm>
          <a:off x="234315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19</xdr:row>
      <xdr:rowOff>0</xdr:rowOff>
    </xdr:from>
    <xdr:to>
      <xdr:col>94</xdr:col>
      <xdr:colOff>0</xdr:colOff>
      <xdr:row>19</xdr:row>
      <xdr:rowOff>0</xdr:rowOff>
    </xdr:to>
    <xdr:cxnSp macro="">
      <xdr:nvCxnSpPr>
        <xdr:cNvPr id="173" name="Straight Arrow Connector 172"/>
        <xdr:cNvCxnSpPr/>
      </xdr:nvCxnSpPr>
      <xdr:spPr>
        <a:xfrm>
          <a:off x="234315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12</xdr:row>
      <xdr:rowOff>0</xdr:rowOff>
    </xdr:from>
    <xdr:to>
      <xdr:col>94</xdr:col>
      <xdr:colOff>0</xdr:colOff>
      <xdr:row>12</xdr:row>
      <xdr:rowOff>0</xdr:rowOff>
    </xdr:to>
    <xdr:cxnSp macro="">
      <xdr:nvCxnSpPr>
        <xdr:cNvPr id="174" name="Straight Arrow Connector 173"/>
        <xdr:cNvCxnSpPr/>
      </xdr:nvCxnSpPr>
      <xdr:spPr>
        <a:xfrm>
          <a:off x="234315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10</xdr:row>
      <xdr:rowOff>0</xdr:rowOff>
    </xdr:from>
    <xdr:to>
      <xdr:col>94</xdr:col>
      <xdr:colOff>0</xdr:colOff>
      <xdr:row>10</xdr:row>
      <xdr:rowOff>0</xdr:rowOff>
    </xdr:to>
    <xdr:cxnSp macro="">
      <xdr:nvCxnSpPr>
        <xdr:cNvPr id="175" name="Straight Arrow Connector 174"/>
        <xdr:cNvCxnSpPr/>
      </xdr:nvCxnSpPr>
      <xdr:spPr>
        <a:xfrm>
          <a:off x="234315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23</xdr:row>
      <xdr:rowOff>0</xdr:rowOff>
    </xdr:from>
    <xdr:to>
      <xdr:col>95</xdr:col>
      <xdr:colOff>0</xdr:colOff>
      <xdr:row>23</xdr:row>
      <xdr:rowOff>0</xdr:rowOff>
    </xdr:to>
    <xdr:cxnSp macro="">
      <xdr:nvCxnSpPr>
        <xdr:cNvPr id="176" name="Straight Arrow Connector 175"/>
        <xdr:cNvCxnSpPr/>
      </xdr:nvCxnSpPr>
      <xdr:spPr>
        <a:xfrm>
          <a:off x="236448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21</xdr:row>
      <xdr:rowOff>0</xdr:rowOff>
    </xdr:from>
    <xdr:to>
      <xdr:col>95</xdr:col>
      <xdr:colOff>0</xdr:colOff>
      <xdr:row>21</xdr:row>
      <xdr:rowOff>0</xdr:rowOff>
    </xdr:to>
    <xdr:cxnSp macro="">
      <xdr:nvCxnSpPr>
        <xdr:cNvPr id="177" name="Straight Arrow Connector 176"/>
        <xdr:cNvCxnSpPr/>
      </xdr:nvCxnSpPr>
      <xdr:spPr>
        <a:xfrm>
          <a:off x="236448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19</xdr:row>
      <xdr:rowOff>0</xdr:rowOff>
    </xdr:from>
    <xdr:to>
      <xdr:col>95</xdr:col>
      <xdr:colOff>0</xdr:colOff>
      <xdr:row>19</xdr:row>
      <xdr:rowOff>0</xdr:rowOff>
    </xdr:to>
    <xdr:cxnSp macro="">
      <xdr:nvCxnSpPr>
        <xdr:cNvPr id="178" name="Straight Arrow Connector 177"/>
        <xdr:cNvCxnSpPr/>
      </xdr:nvCxnSpPr>
      <xdr:spPr>
        <a:xfrm>
          <a:off x="236448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12</xdr:row>
      <xdr:rowOff>0</xdr:rowOff>
    </xdr:from>
    <xdr:to>
      <xdr:col>95</xdr:col>
      <xdr:colOff>0</xdr:colOff>
      <xdr:row>12</xdr:row>
      <xdr:rowOff>0</xdr:rowOff>
    </xdr:to>
    <xdr:cxnSp macro="">
      <xdr:nvCxnSpPr>
        <xdr:cNvPr id="179" name="Straight Arrow Connector 178"/>
        <xdr:cNvCxnSpPr/>
      </xdr:nvCxnSpPr>
      <xdr:spPr>
        <a:xfrm>
          <a:off x="236448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10</xdr:row>
      <xdr:rowOff>0</xdr:rowOff>
    </xdr:from>
    <xdr:to>
      <xdr:col>95</xdr:col>
      <xdr:colOff>0</xdr:colOff>
      <xdr:row>10</xdr:row>
      <xdr:rowOff>0</xdr:rowOff>
    </xdr:to>
    <xdr:cxnSp macro="">
      <xdr:nvCxnSpPr>
        <xdr:cNvPr id="180" name="Straight Arrow Connector 179"/>
        <xdr:cNvCxnSpPr/>
      </xdr:nvCxnSpPr>
      <xdr:spPr>
        <a:xfrm>
          <a:off x="236448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23</xdr:row>
      <xdr:rowOff>0</xdr:rowOff>
    </xdr:from>
    <xdr:to>
      <xdr:col>96</xdr:col>
      <xdr:colOff>0</xdr:colOff>
      <xdr:row>23</xdr:row>
      <xdr:rowOff>0</xdr:rowOff>
    </xdr:to>
    <xdr:cxnSp macro="">
      <xdr:nvCxnSpPr>
        <xdr:cNvPr id="181" name="Straight Arrow Connector 180"/>
        <xdr:cNvCxnSpPr/>
      </xdr:nvCxnSpPr>
      <xdr:spPr>
        <a:xfrm>
          <a:off x="23858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21</xdr:row>
      <xdr:rowOff>0</xdr:rowOff>
    </xdr:from>
    <xdr:to>
      <xdr:col>96</xdr:col>
      <xdr:colOff>0</xdr:colOff>
      <xdr:row>21</xdr:row>
      <xdr:rowOff>0</xdr:rowOff>
    </xdr:to>
    <xdr:cxnSp macro="">
      <xdr:nvCxnSpPr>
        <xdr:cNvPr id="182" name="Straight Arrow Connector 181"/>
        <xdr:cNvCxnSpPr/>
      </xdr:nvCxnSpPr>
      <xdr:spPr>
        <a:xfrm>
          <a:off x="23858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19</xdr:row>
      <xdr:rowOff>0</xdr:rowOff>
    </xdr:from>
    <xdr:to>
      <xdr:col>96</xdr:col>
      <xdr:colOff>0</xdr:colOff>
      <xdr:row>19</xdr:row>
      <xdr:rowOff>0</xdr:rowOff>
    </xdr:to>
    <xdr:cxnSp macro="">
      <xdr:nvCxnSpPr>
        <xdr:cNvPr id="183" name="Straight Arrow Connector 182"/>
        <xdr:cNvCxnSpPr/>
      </xdr:nvCxnSpPr>
      <xdr:spPr>
        <a:xfrm>
          <a:off x="23858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12</xdr:row>
      <xdr:rowOff>0</xdr:rowOff>
    </xdr:from>
    <xdr:to>
      <xdr:col>96</xdr:col>
      <xdr:colOff>0</xdr:colOff>
      <xdr:row>12</xdr:row>
      <xdr:rowOff>0</xdr:rowOff>
    </xdr:to>
    <xdr:cxnSp macro="">
      <xdr:nvCxnSpPr>
        <xdr:cNvPr id="184" name="Straight Arrow Connector 183"/>
        <xdr:cNvCxnSpPr/>
      </xdr:nvCxnSpPr>
      <xdr:spPr>
        <a:xfrm>
          <a:off x="23858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10</xdr:row>
      <xdr:rowOff>0</xdr:rowOff>
    </xdr:from>
    <xdr:to>
      <xdr:col>96</xdr:col>
      <xdr:colOff>0</xdr:colOff>
      <xdr:row>10</xdr:row>
      <xdr:rowOff>0</xdr:rowOff>
    </xdr:to>
    <xdr:cxnSp macro="">
      <xdr:nvCxnSpPr>
        <xdr:cNvPr id="185" name="Straight Arrow Connector 184"/>
        <xdr:cNvCxnSpPr/>
      </xdr:nvCxnSpPr>
      <xdr:spPr>
        <a:xfrm>
          <a:off x="23858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23</xdr:row>
      <xdr:rowOff>0</xdr:rowOff>
    </xdr:from>
    <xdr:to>
      <xdr:col>97</xdr:col>
      <xdr:colOff>0</xdr:colOff>
      <xdr:row>23</xdr:row>
      <xdr:rowOff>0</xdr:rowOff>
    </xdr:to>
    <xdr:cxnSp macro="">
      <xdr:nvCxnSpPr>
        <xdr:cNvPr id="186" name="Straight Arrow Connector 185"/>
        <xdr:cNvCxnSpPr/>
      </xdr:nvCxnSpPr>
      <xdr:spPr>
        <a:xfrm>
          <a:off x="240715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21</xdr:row>
      <xdr:rowOff>0</xdr:rowOff>
    </xdr:from>
    <xdr:to>
      <xdr:col>97</xdr:col>
      <xdr:colOff>0</xdr:colOff>
      <xdr:row>21</xdr:row>
      <xdr:rowOff>0</xdr:rowOff>
    </xdr:to>
    <xdr:cxnSp macro="">
      <xdr:nvCxnSpPr>
        <xdr:cNvPr id="187" name="Straight Arrow Connector 186"/>
        <xdr:cNvCxnSpPr/>
      </xdr:nvCxnSpPr>
      <xdr:spPr>
        <a:xfrm>
          <a:off x="240715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19</xdr:row>
      <xdr:rowOff>0</xdr:rowOff>
    </xdr:from>
    <xdr:to>
      <xdr:col>97</xdr:col>
      <xdr:colOff>0</xdr:colOff>
      <xdr:row>19</xdr:row>
      <xdr:rowOff>0</xdr:rowOff>
    </xdr:to>
    <xdr:cxnSp macro="">
      <xdr:nvCxnSpPr>
        <xdr:cNvPr id="188" name="Straight Arrow Connector 187"/>
        <xdr:cNvCxnSpPr/>
      </xdr:nvCxnSpPr>
      <xdr:spPr>
        <a:xfrm>
          <a:off x="240715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12</xdr:row>
      <xdr:rowOff>0</xdr:rowOff>
    </xdr:from>
    <xdr:to>
      <xdr:col>97</xdr:col>
      <xdr:colOff>0</xdr:colOff>
      <xdr:row>12</xdr:row>
      <xdr:rowOff>0</xdr:rowOff>
    </xdr:to>
    <xdr:cxnSp macro="">
      <xdr:nvCxnSpPr>
        <xdr:cNvPr id="189" name="Straight Arrow Connector 188"/>
        <xdr:cNvCxnSpPr/>
      </xdr:nvCxnSpPr>
      <xdr:spPr>
        <a:xfrm>
          <a:off x="240715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10</xdr:row>
      <xdr:rowOff>0</xdr:rowOff>
    </xdr:from>
    <xdr:to>
      <xdr:col>97</xdr:col>
      <xdr:colOff>0</xdr:colOff>
      <xdr:row>10</xdr:row>
      <xdr:rowOff>0</xdr:rowOff>
    </xdr:to>
    <xdr:cxnSp macro="">
      <xdr:nvCxnSpPr>
        <xdr:cNvPr id="190" name="Straight Arrow Connector 189"/>
        <xdr:cNvCxnSpPr/>
      </xdr:nvCxnSpPr>
      <xdr:spPr>
        <a:xfrm>
          <a:off x="240715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23</xdr:row>
      <xdr:rowOff>0</xdr:rowOff>
    </xdr:from>
    <xdr:to>
      <xdr:col>99</xdr:col>
      <xdr:colOff>0</xdr:colOff>
      <xdr:row>23</xdr:row>
      <xdr:rowOff>0</xdr:rowOff>
    </xdr:to>
    <xdr:cxnSp macro="">
      <xdr:nvCxnSpPr>
        <xdr:cNvPr id="191" name="Straight Arrow Connector 190"/>
        <xdr:cNvCxnSpPr/>
      </xdr:nvCxnSpPr>
      <xdr:spPr>
        <a:xfrm>
          <a:off x="244983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21</xdr:row>
      <xdr:rowOff>0</xdr:rowOff>
    </xdr:from>
    <xdr:to>
      <xdr:col>99</xdr:col>
      <xdr:colOff>0</xdr:colOff>
      <xdr:row>21</xdr:row>
      <xdr:rowOff>0</xdr:rowOff>
    </xdr:to>
    <xdr:cxnSp macro="">
      <xdr:nvCxnSpPr>
        <xdr:cNvPr id="192" name="Straight Arrow Connector 191"/>
        <xdr:cNvCxnSpPr/>
      </xdr:nvCxnSpPr>
      <xdr:spPr>
        <a:xfrm>
          <a:off x="244983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19</xdr:row>
      <xdr:rowOff>0</xdr:rowOff>
    </xdr:from>
    <xdr:to>
      <xdr:col>99</xdr:col>
      <xdr:colOff>0</xdr:colOff>
      <xdr:row>19</xdr:row>
      <xdr:rowOff>0</xdr:rowOff>
    </xdr:to>
    <xdr:cxnSp macro="">
      <xdr:nvCxnSpPr>
        <xdr:cNvPr id="193" name="Straight Arrow Connector 192"/>
        <xdr:cNvCxnSpPr/>
      </xdr:nvCxnSpPr>
      <xdr:spPr>
        <a:xfrm>
          <a:off x="244983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12</xdr:row>
      <xdr:rowOff>0</xdr:rowOff>
    </xdr:from>
    <xdr:to>
      <xdr:col>99</xdr:col>
      <xdr:colOff>0</xdr:colOff>
      <xdr:row>12</xdr:row>
      <xdr:rowOff>0</xdr:rowOff>
    </xdr:to>
    <xdr:cxnSp macro="">
      <xdr:nvCxnSpPr>
        <xdr:cNvPr id="194" name="Straight Arrow Connector 193"/>
        <xdr:cNvCxnSpPr/>
      </xdr:nvCxnSpPr>
      <xdr:spPr>
        <a:xfrm>
          <a:off x="244983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10</xdr:row>
      <xdr:rowOff>0</xdr:rowOff>
    </xdr:from>
    <xdr:to>
      <xdr:col>99</xdr:col>
      <xdr:colOff>0</xdr:colOff>
      <xdr:row>10</xdr:row>
      <xdr:rowOff>0</xdr:rowOff>
    </xdr:to>
    <xdr:cxnSp macro="">
      <xdr:nvCxnSpPr>
        <xdr:cNvPr id="195" name="Straight Arrow Connector 194"/>
        <xdr:cNvCxnSpPr/>
      </xdr:nvCxnSpPr>
      <xdr:spPr>
        <a:xfrm>
          <a:off x="244983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23</xdr:row>
      <xdr:rowOff>0</xdr:rowOff>
    </xdr:from>
    <xdr:to>
      <xdr:col>78</xdr:col>
      <xdr:colOff>0</xdr:colOff>
      <xdr:row>23</xdr:row>
      <xdr:rowOff>0</xdr:rowOff>
    </xdr:to>
    <xdr:cxnSp macro="">
      <xdr:nvCxnSpPr>
        <xdr:cNvPr id="196" name="Straight Arrow Connector 195"/>
        <xdr:cNvCxnSpPr/>
      </xdr:nvCxnSpPr>
      <xdr:spPr>
        <a:xfrm>
          <a:off x="200177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21</xdr:row>
      <xdr:rowOff>0</xdr:rowOff>
    </xdr:from>
    <xdr:to>
      <xdr:col>78</xdr:col>
      <xdr:colOff>0</xdr:colOff>
      <xdr:row>21</xdr:row>
      <xdr:rowOff>0</xdr:rowOff>
    </xdr:to>
    <xdr:cxnSp macro="">
      <xdr:nvCxnSpPr>
        <xdr:cNvPr id="197" name="Straight Arrow Connector 196"/>
        <xdr:cNvCxnSpPr/>
      </xdr:nvCxnSpPr>
      <xdr:spPr>
        <a:xfrm>
          <a:off x="200177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19</xdr:row>
      <xdr:rowOff>0</xdr:rowOff>
    </xdr:from>
    <xdr:to>
      <xdr:col>78</xdr:col>
      <xdr:colOff>0</xdr:colOff>
      <xdr:row>19</xdr:row>
      <xdr:rowOff>0</xdr:rowOff>
    </xdr:to>
    <xdr:cxnSp macro="">
      <xdr:nvCxnSpPr>
        <xdr:cNvPr id="198" name="Straight Arrow Connector 197"/>
        <xdr:cNvCxnSpPr/>
      </xdr:nvCxnSpPr>
      <xdr:spPr>
        <a:xfrm>
          <a:off x="200177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12</xdr:row>
      <xdr:rowOff>0</xdr:rowOff>
    </xdr:from>
    <xdr:to>
      <xdr:col>78</xdr:col>
      <xdr:colOff>0</xdr:colOff>
      <xdr:row>12</xdr:row>
      <xdr:rowOff>0</xdr:rowOff>
    </xdr:to>
    <xdr:cxnSp macro="">
      <xdr:nvCxnSpPr>
        <xdr:cNvPr id="199" name="Straight Arrow Connector 198"/>
        <xdr:cNvCxnSpPr/>
      </xdr:nvCxnSpPr>
      <xdr:spPr>
        <a:xfrm>
          <a:off x="200177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10</xdr:row>
      <xdr:rowOff>0</xdr:rowOff>
    </xdr:from>
    <xdr:to>
      <xdr:col>78</xdr:col>
      <xdr:colOff>0</xdr:colOff>
      <xdr:row>10</xdr:row>
      <xdr:rowOff>0</xdr:rowOff>
    </xdr:to>
    <xdr:cxnSp macro="">
      <xdr:nvCxnSpPr>
        <xdr:cNvPr id="200" name="Straight Arrow Connector 199"/>
        <xdr:cNvCxnSpPr/>
      </xdr:nvCxnSpPr>
      <xdr:spPr>
        <a:xfrm>
          <a:off x="200177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23</xdr:row>
      <xdr:rowOff>0</xdr:rowOff>
    </xdr:from>
    <xdr:to>
      <xdr:col>79</xdr:col>
      <xdr:colOff>0</xdr:colOff>
      <xdr:row>23</xdr:row>
      <xdr:rowOff>0</xdr:rowOff>
    </xdr:to>
    <xdr:cxnSp macro="">
      <xdr:nvCxnSpPr>
        <xdr:cNvPr id="201" name="Straight Arrow Connector 200"/>
        <xdr:cNvCxnSpPr/>
      </xdr:nvCxnSpPr>
      <xdr:spPr>
        <a:xfrm>
          <a:off x="202311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21</xdr:row>
      <xdr:rowOff>0</xdr:rowOff>
    </xdr:from>
    <xdr:to>
      <xdr:col>79</xdr:col>
      <xdr:colOff>0</xdr:colOff>
      <xdr:row>21</xdr:row>
      <xdr:rowOff>0</xdr:rowOff>
    </xdr:to>
    <xdr:cxnSp macro="">
      <xdr:nvCxnSpPr>
        <xdr:cNvPr id="202" name="Straight Arrow Connector 201"/>
        <xdr:cNvCxnSpPr/>
      </xdr:nvCxnSpPr>
      <xdr:spPr>
        <a:xfrm>
          <a:off x="202311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19</xdr:row>
      <xdr:rowOff>0</xdr:rowOff>
    </xdr:from>
    <xdr:to>
      <xdr:col>79</xdr:col>
      <xdr:colOff>0</xdr:colOff>
      <xdr:row>19</xdr:row>
      <xdr:rowOff>0</xdr:rowOff>
    </xdr:to>
    <xdr:cxnSp macro="">
      <xdr:nvCxnSpPr>
        <xdr:cNvPr id="203" name="Straight Arrow Connector 202"/>
        <xdr:cNvCxnSpPr/>
      </xdr:nvCxnSpPr>
      <xdr:spPr>
        <a:xfrm>
          <a:off x="202311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12</xdr:row>
      <xdr:rowOff>0</xdr:rowOff>
    </xdr:from>
    <xdr:to>
      <xdr:col>79</xdr:col>
      <xdr:colOff>0</xdr:colOff>
      <xdr:row>12</xdr:row>
      <xdr:rowOff>0</xdr:rowOff>
    </xdr:to>
    <xdr:cxnSp macro="">
      <xdr:nvCxnSpPr>
        <xdr:cNvPr id="204" name="Straight Arrow Connector 203"/>
        <xdr:cNvCxnSpPr/>
      </xdr:nvCxnSpPr>
      <xdr:spPr>
        <a:xfrm>
          <a:off x="202311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10</xdr:row>
      <xdr:rowOff>0</xdr:rowOff>
    </xdr:from>
    <xdr:to>
      <xdr:col>79</xdr:col>
      <xdr:colOff>0</xdr:colOff>
      <xdr:row>10</xdr:row>
      <xdr:rowOff>0</xdr:rowOff>
    </xdr:to>
    <xdr:cxnSp macro="">
      <xdr:nvCxnSpPr>
        <xdr:cNvPr id="205" name="Straight Arrow Connector 204"/>
        <xdr:cNvCxnSpPr/>
      </xdr:nvCxnSpPr>
      <xdr:spPr>
        <a:xfrm>
          <a:off x="202311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23</xdr:row>
      <xdr:rowOff>0</xdr:rowOff>
    </xdr:from>
    <xdr:to>
      <xdr:col>80</xdr:col>
      <xdr:colOff>0</xdr:colOff>
      <xdr:row>23</xdr:row>
      <xdr:rowOff>0</xdr:rowOff>
    </xdr:to>
    <xdr:cxnSp macro="">
      <xdr:nvCxnSpPr>
        <xdr:cNvPr id="206" name="Straight Arrow Connector 205"/>
        <xdr:cNvCxnSpPr/>
      </xdr:nvCxnSpPr>
      <xdr:spPr>
        <a:xfrm>
          <a:off x="204444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21</xdr:row>
      <xdr:rowOff>0</xdr:rowOff>
    </xdr:from>
    <xdr:to>
      <xdr:col>80</xdr:col>
      <xdr:colOff>0</xdr:colOff>
      <xdr:row>21</xdr:row>
      <xdr:rowOff>0</xdr:rowOff>
    </xdr:to>
    <xdr:cxnSp macro="">
      <xdr:nvCxnSpPr>
        <xdr:cNvPr id="207" name="Straight Arrow Connector 206"/>
        <xdr:cNvCxnSpPr/>
      </xdr:nvCxnSpPr>
      <xdr:spPr>
        <a:xfrm>
          <a:off x="204444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19</xdr:row>
      <xdr:rowOff>0</xdr:rowOff>
    </xdr:from>
    <xdr:to>
      <xdr:col>80</xdr:col>
      <xdr:colOff>0</xdr:colOff>
      <xdr:row>19</xdr:row>
      <xdr:rowOff>0</xdr:rowOff>
    </xdr:to>
    <xdr:cxnSp macro="">
      <xdr:nvCxnSpPr>
        <xdr:cNvPr id="208" name="Straight Arrow Connector 207"/>
        <xdr:cNvCxnSpPr/>
      </xdr:nvCxnSpPr>
      <xdr:spPr>
        <a:xfrm>
          <a:off x="204444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12</xdr:row>
      <xdr:rowOff>0</xdr:rowOff>
    </xdr:from>
    <xdr:to>
      <xdr:col>80</xdr:col>
      <xdr:colOff>0</xdr:colOff>
      <xdr:row>12</xdr:row>
      <xdr:rowOff>0</xdr:rowOff>
    </xdr:to>
    <xdr:cxnSp macro="">
      <xdr:nvCxnSpPr>
        <xdr:cNvPr id="209" name="Straight Arrow Connector 208"/>
        <xdr:cNvCxnSpPr/>
      </xdr:nvCxnSpPr>
      <xdr:spPr>
        <a:xfrm>
          <a:off x="204444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10</xdr:row>
      <xdr:rowOff>0</xdr:rowOff>
    </xdr:from>
    <xdr:to>
      <xdr:col>80</xdr:col>
      <xdr:colOff>0</xdr:colOff>
      <xdr:row>10</xdr:row>
      <xdr:rowOff>0</xdr:rowOff>
    </xdr:to>
    <xdr:cxnSp macro="">
      <xdr:nvCxnSpPr>
        <xdr:cNvPr id="210" name="Straight Arrow Connector 209"/>
        <xdr:cNvCxnSpPr/>
      </xdr:nvCxnSpPr>
      <xdr:spPr>
        <a:xfrm>
          <a:off x="204444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23</xdr:row>
      <xdr:rowOff>0</xdr:rowOff>
    </xdr:from>
    <xdr:to>
      <xdr:col>81</xdr:col>
      <xdr:colOff>0</xdr:colOff>
      <xdr:row>23</xdr:row>
      <xdr:rowOff>0</xdr:rowOff>
    </xdr:to>
    <xdr:cxnSp macro="">
      <xdr:nvCxnSpPr>
        <xdr:cNvPr id="211" name="Straight Arrow Connector 210"/>
        <xdr:cNvCxnSpPr/>
      </xdr:nvCxnSpPr>
      <xdr:spPr>
        <a:xfrm>
          <a:off x="206578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21</xdr:row>
      <xdr:rowOff>0</xdr:rowOff>
    </xdr:from>
    <xdr:to>
      <xdr:col>81</xdr:col>
      <xdr:colOff>0</xdr:colOff>
      <xdr:row>21</xdr:row>
      <xdr:rowOff>0</xdr:rowOff>
    </xdr:to>
    <xdr:cxnSp macro="">
      <xdr:nvCxnSpPr>
        <xdr:cNvPr id="212" name="Straight Arrow Connector 211"/>
        <xdr:cNvCxnSpPr/>
      </xdr:nvCxnSpPr>
      <xdr:spPr>
        <a:xfrm>
          <a:off x="206578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19</xdr:row>
      <xdr:rowOff>0</xdr:rowOff>
    </xdr:from>
    <xdr:to>
      <xdr:col>81</xdr:col>
      <xdr:colOff>0</xdr:colOff>
      <xdr:row>19</xdr:row>
      <xdr:rowOff>0</xdr:rowOff>
    </xdr:to>
    <xdr:cxnSp macro="">
      <xdr:nvCxnSpPr>
        <xdr:cNvPr id="213" name="Straight Arrow Connector 212"/>
        <xdr:cNvCxnSpPr/>
      </xdr:nvCxnSpPr>
      <xdr:spPr>
        <a:xfrm>
          <a:off x="206578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12</xdr:row>
      <xdr:rowOff>0</xdr:rowOff>
    </xdr:from>
    <xdr:to>
      <xdr:col>81</xdr:col>
      <xdr:colOff>0</xdr:colOff>
      <xdr:row>12</xdr:row>
      <xdr:rowOff>0</xdr:rowOff>
    </xdr:to>
    <xdr:cxnSp macro="">
      <xdr:nvCxnSpPr>
        <xdr:cNvPr id="214" name="Straight Arrow Connector 213"/>
        <xdr:cNvCxnSpPr/>
      </xdr:nvCxnSpPr>
      <xdr:spPr>
        <a:xfrm>
          <a:off x="206578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10</xdr:row>
      <xdr:rowOff>0</xdr:rowOff>
    </xdr:from>
    <xdr:to>
      <xdr:col>81</xdr:col>
      <xdr:colOff>0</xdr:colOff>
      <xdr:row>10</xdr:row>
      <xdr:rowOff>0</xdr:rowOff>
    </xdr:to>
    <xdr:cxnSp macro="">
      <xdr:nvCxnSpPr>
        <xdr:cNvPr id="215" name="Straight Arrow Connector 214"/>
        <xdr:cNvCxnSpPr/>
      </xdr:nvCxnSpPr>
      <xdr:spPr>
        <a:xfrm>
          <a:off x="206578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23</xdr:row>
      <xdr:rowOff>0</xdr:rowOff>
    </xdr:from>
    <xdr:to>
      <xdr:col>83</xdr:col>
      <xdr:colOff>0</xdr:colOff>
      <xdr:row>23</xdr:row>
      <xdr:rowOff>0</xdr:rowOff>
    </xdr:to>
    <xdr:cxnSp macro="">
      <xdr:nvCxnSpPr>
        <xdr:cNvPr id="216" name="Straight Arrow Connector 215"/>
        <xdr:cNvCxnSpPr/>
      </xdr:nvCxnSpPr>
      <xdr:spPr>
        <a:xfrm>
          <a:off x="210845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19</xdr:row>
      <xdr:rowOff>0</xdr:rowOff>
    </xdr:from>
    <xdr:to>
      <xdr:col>83</xdr:col>
      <xdr:colOff>0</xdr:colOff>
      <xdr:row>19</xdr:row>
      <xdr:rowOff>0</xdr:rowOff>
    </xdr:to>
    <xdr:cxnSp macro="">
      <xdr:nvCxnSpPr>
        <xdr:cNvPr id="217" name="Straight Arrow Connector 216"/>
        <xdr:cNvCxnSpPr/>
      </xdr:nvCxnSpPr>
      <xdr:spPr>
        <a:xfrm>
          <a:off x="210845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12</xdr:row>
      <xdr:rowOff>0</xdr:rowOff>
    </xdr:from>
    <xdr:to>
      <xdr:col>83</xdr:col>
      <xdr:colOff>0</xdr:colOff>
      <xdr:row>12</xdr:row>
      <xdr:rowOff>0</xdr:rowOff>
    </xdr:to>
    <xdr:cxnSp macro="">
      <xdr:nvCxnSpPr>
        <xdr:cNvPr id="218" name="Straight Arrow Connector 217"/>
        <xdr:cNvCxnSpPr/>
      </xdr:nvCxnSpPr>
      <xdr:spPr>
        <a:xfrm>
          <a:off x="210845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10</xdr:row>
      <xdr:rowOff>0</xdr:rowOff>
    </xdr:from>
    <xdr:to>
      <xdr:col>83</xdr:col>
      <xdr:colOff>0</xdr:colOff>
      <xdr:row>10</xdr:row>
      <xdr:rowOff>0</xdr:rowOff>
    </xdr:to>
    <xdr:cxnSp macro="">
      <xdr:nvCxnSpPr>
        <xdr:cNvPr id="219" name="Straight Arrow Connector 218"/>
        <xdr:cNvCxnSpPr/>
      </xdr:nvCxnSpPr>
      <xdr:spPr>
        <a:xfrm>
          <a:off x="210845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23</xdr:row>
      <xdr:rowOff>0</xdr:rowOff>
    </xdr:from>
    <xdr:to>
      <xdr:col>86</xdr:col>
      <xdr:colOff>0</xdr:colOff>
      <xdr:row>23</xdr:row>
      <xdr:rowOff>0</xdr:rowOff>
    </xdr:to>
    <xdr:cxnSp macro="">
      <xdr:nvCxnSpPr>
        <xdr:cNvPr id="220" name="Straight Arrow Connector 219"/>
        <xdr:cNvCxnSpPr/>
      </xdr:nvCxnSpPr>
      <xdr:spPr>
        <a:xfrm>
          <a:off x="217246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21</xdr:row>
      <xdr:rowOff>0</xdr:rowOff>
    </xdr:from>
    <xdr:to>
      <xdr:col>86</xdr:col>
      <xdr:colOff>0</xdr:colOff>
      <xdr:row>21</xdr:row>
      <xdr:rowOff>0</xdr:rowOff>
    </xdr:to>
    <xdr:cxnSp macro="">
      <xdr:nvCxnSpPr>
        <xdr:cNvPr id="221" name="Straight Arrow Connector 220"/>
        <xdr:cNvCxnSpPr/>
      </xdr:nvCxnSpPr>
      <xdr:spPr>
        <a:xfrm>
          <a:off x="217246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19</xdr:row>
      <xdr:rowOff>0</xdr:rowOff>
    </xdr:from>
    <xdr:to>
      <xdr:col>86</xdr:col>
      <xdr:colOff>0</xdr:colOff>
      <xdr:row>19</xdr:row>
      <xdr:rowOff>0</xdr:rowOff>
    </xdr:to>
    <xdr:cxnSp macro="">
      <xdr:nvCxnSpPr>
        <xdr:cNvPr id="222" name="Straight Arrow Connector 221"/>
        <xdr:cNvCxnSpPr/>
      </xdr:nvCxnSpPr>
      <xdr:spPr>
        <a:xfrm>
          <a:off x="217246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12</xdr:row>
      <xdr:rowOff>0</xdr:rowOff>
    </xdr:from>
    <xdr:to>
      <xdr:col>86</xdr:col>
      <xdr:colOff>0</xdr:colOff>
      <xdr:row>12</xdr:row>
      <xdr:rowOff>0</xdr:rowOff>
    </xdr:to>
    <xdr:cxnSp macro="">
      <xdr:nvCxnSpPr>
        <xdr:cNvPr id="223" name="Straight Arrow Connector 222"/>
        <xdr:cNvCxnSpPr/>
      </xdr:nvCxnSpPr>
      <xdr:spPr>
        <a:xfrm>
          <a:off x="217246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10</xdr:row>
      <xdr:rowOff>0</xdr:rowOff>
    </xdr:from>
    <xdr:to>
      <xdr:col>86</xdr:col>
      <xdr:colOff>0</xdr:colOff>
      <xdr:row>10</xdr:row>
      <xdr:rowOff>0</xdr:rowOff>
    </xdr:to>
    <xdr:cxnSp macro="">
      <xdr:nvCxnSpPr>
        <xdr:cNvPr id="224" name="Straight Arrow Connector 223"/>
        <xdr:cNvCxnSpPr/>
      </xdr:nvCxnSpPr>
      <xdr:spPr>
        <a:xfrm>
          <a:off x="217246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23</xdr:row>
      <xdr:rowOff>0</xdr:rowOff>
    </xdr:from>
    <xdr:to>
      <xdr:col>87</xdr:col>
      <xdr:colOff>0</xdr:colOff>
      <xdr:row>23</xdr:row>
      <xdr:rowOff>0</xdr:rowOff>
    </xdr:to>
    <xdr:cxnSp macro="">
      <xdr:nvCxnSpPr>
        <xdr:cNvPr id="225" name="Straight Arrow Connector 224"/>
        <xdr:cNvCxnSpPr/>
      </xdr:nvCxnSpPr>
      <xdr:spPr>
        <a:xfrm>
          <a:off x="219379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21</xdr:row>
      <xdr:rowOff>0</xdr:rowOff>
    </xdr:from>
    <xdr:to>
      <xdr:col>87</xdr:col>
      <xdr:colOff>0</xdr:colOff>
      <xdr:row>21</xdr:row>
      <xdr:rowOff>0</xdr:rowOff>
    </xdr:to>
    <xdr:cxnSp macro="">
      <xdr:nvCxnSpPr>
        <xdr:cNvPr id="226" name="Straight Arrow Connector 225"/>
        <xdr:cNvCxnSpPr/>
      </xdr:nvCxnSpPr>
      <xdr:spPr>
        <a:xfrm>
          <a:off x="219379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19</xdr:row>
      <xdr:rowOff>0</xdr:rowOff>
    </xdr:from>
    <xdr:to>
      <xdr:col>87</xdr:col>
      <xdr:colOff>0</xdr:colOff>
      <xdr:row>19</xdr:row>
      <xdr:rowOff>0</xdr:rowOff>
    </xdr:to>
    <xdr:cxnSp macro="">
      <xdr:nvCxnSpPr>
        <xdr:cNvPr id="227" name="Straight Arrow Connector 226"/>
        <xdr:cNvCxnSpPr/>
      </xdr:nvCxnSpPr>
      <xdr:spPr>
        <a:xfrm>
          <a:off x="219379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12</xdr:row>
      <xdr:rowOff>0</xdr:rowOff>
    </xdr:from>
    <xdr:to>
      <xdr:col>87</xdr:col>
      <xdr:colOff>0</xdr:colOff>
      <xdr:row>12</xdr:row>
      <xdr:rowOff>0</xdr:rowOff>
    </xdr:to>
    <xdr:cxnSp macro="">
      <xdr:nvCxnSpPr>
        <xdr:cNvPr id="228" name="Straight Arrow Connector 227"/>
        <xdr:cNvCxnSpPr/>
      </xdr:nvCxnSpPr>
      <xdr:spPr>
        <a:xfrm>
          <a:off x="219379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10</xdr:row>
      <xdr:rowOff>0</xdr:rowOff>
    </xdr:from>
    <xdr:to>
      <xdr:col>87</xdr:col>
      <xdr:colOff>0</xdr:colOff>
      <xdr:row>10</xdr:row>
      <xdr:rowOff>0</xdr:rowOff>
    </xdr:to>
    <xdr:cxnSp macro="">
      <xdr:nvCxnSpPr>
        <xdr:cNvPr id="229" name="Straight Arrow Connector 228"/>
        <xdr:cNvCxnSpPr/>
      </xdr:nvCxnSpPr>
      <xdr:spPr>
        <a:xfrm>
          <a:off x="219379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23</xdr:row>
      <xdr:rowOff>0</xdr:rowOff>
    </xdr:from>
    <xdr:to>
      <xdr:col>88</xdr:col>
      <xdr:colOff>0</xdr:colOff>
      <xdr:row>23</xdr:row>
      <xdr:rowOff>0</xdr:rowOff>
    </xdr:to>
    <xdr:cxnSp macro="">
      <xdr:nvCxnSpPr>
        <xdr:cNvPr id="230" name="Straight Arrow Connector 229"/>
        <xdr:cNvCxnSpPr/>
      </xdr:nvCxnSpPr>
      <xdr:spPr>
        <a:xfrm>
          <a:off x="221513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21</xdr:row>
      <xdr:rowOff>0</xdr:rowOff>
    </xdr:from>
    <xdr:to>
      <xdr:col>88</xdr:col>
      <xdr:colOff>0</xdr:colOff>
      <xdr:row>21</xdr:row>
      <xdr:rowOff>0</xdr:rowOff>
    </xdr:to>
    <xdr:cxnSp macro="">
      <xdr:nvCxnSpPr>
        <xdr:cNvPr id="231" name="Straight Arrow Connector 230"/>
        <xdr:cNvCxnSpPr/>
      </xdr:nvCxnSpPr>
      <xdr:spPr>
        <a:xfrm>
          <a:off x="221513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19</xdr:row>
      <xdr:rowOff>0</xdr:rowOff>
    </xdr:from>
    <xdr:to>
      <xdr:col>88</xdr:col>
      <xdr:colOff>0</xdr:colOff>
      <xdr:row>19</xdr:row>
      <xdr:rowOff>0</xdr:rowOff>
    </xdr:to>
    <xdr:cxnSp macro="">
      <xdr:nvCxnSpPr>
        <xdr:cNvPr id="232" name="Straight Arrow Connector 231"/>
        <xdr:cNvCxnSpPr/>
      </xdr:nvCxnSpPr>
      <xdr:spPr>
        <a:xfrm>
          <a:off x="221513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12</xdr:row>
      <xdr:rowOff>0</xdr:rowOff>
    </xdr:from>
    <xdr:to>
      <xdr:col>88</xdr:col>
      <xdr:colOff>0</xdr:colOff>
      <xdr:row>12</xdr:row>
      <xdr:rowOff>0</xdr:rowOff>
    </xdr:to>
    <xdr:cxnSp macro="">
      <xdr:nvCxnSpPr>
        <xdr:cNvPr id="233" name="Straight Arrow Connector 232"/>
        <xdr:cNvCxnSpPr/>
      </xdr:nvCxnSpPr>
      <xdr:spPr>
        <a:xfrm>
          <a:off x="221513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10</xdr:row>
      <xdr:rowOff>0</xdr:rowOff>
    </xdr:from>
    <xdr:to>
      <xdr:col>88</xdr:col>
      <xdr:colOff>0</xdr:colOff>
      <xdr:row>10</xdr:row>
      <xdr:rowOff>0</xdr:rowOff>
    </xdr:to>
    <xdr:cxnSp macro="">
      <xdr:nvCxnSpPr>
        <xdr:cNvPr id="234" name="Straight Arrow Connector 233"/>
        <xdr:cNvCxnSpPr/>
      </xdr:nvCxnSpPr>
      <xdr:spPr>
        <a:xfrm>
          <a:off x="221513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23</xdr:row>
      <xdr:rowOff>0</xdr:rowOff>
    </xdr:from>
    <xdr:to>
      <xdr:col>89</xdr:col>
      <xdr:colOff>0</xdr:colOff>
      <xdr:row>23</xdr:row>
      <xdr:rowOff>0</xdr:rowOff>
    </xdr:to>
    <xdr:cxnSp macro="">
      <xdr:nvCxnSpPr>
        <xdr:cNvPr id="235" name="Straight Arrow Connector 234"/>
        <xdr:cNvCxnSpPr/>
      </xdr:nvCxnSpPr>
      <xdr:spPr>
        <a:xfrm>
          <a:off x="223647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21</xdr:row>
      <xdr:rowOff>0</xdr:rowOff>
    </xdr:from>
    <xdr:to>
      <xdr:col>89</xdr:col>
      <xdr:colOff>0</xdr:colOff>
      <xdr:row>21</xdr:row>
      <xdr:rowOff>0</xdr:rowOff>
    </xdr:to>
    <xdr:cxnSp macro="">
      <xdr:nvCxnSpPr>
        <xdr:cNvPr id="236" name="Straight Arrow Connector 235"/>
        <xdr:cNvCxnSpPr/>
      </xdr:nvCxnSpPr>
      <xdr:spPr>
        <a:xfrm>
          <a:off x="223647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19</xdr:row>
      <xdr:rowOff>0</xdr:rowOff>
    </xdr:from>
    <xdr:to>
      <xdr:col>89</xdr:col>
      <xdr:colOff>0</xdr:colOff>
      <xdr:row>19</xdr:row>
      <xdr:rowOff>0</xdr:rowOff>
    </xdr:to>
    <xdr:cxnSp macro="">
      <xdr:nvCxnSpPr>
        <xdr:cNvPr id="237" name="Straight Arrow Connector 236"/>
        <xdr:cNvCxnSpPr/>
      </xdr:nvCxnSpPr>
      <xdr:spPr>
        <a:xfrm>
          <a:off x="223647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12</xdr:row>
      <xdr:rowOff>0</xdr:rowOff>
    </xdr:from>
    <xdr:to>
      <xdr:col>89</xdr:col>
      <xdr:colOff>0</xdr:colOff>
      <xdr:row>12</xdr:row>
      <xdr:rowOff>0</xdr:rowOff>
    </xdr:to>
    <xdr:cxnSp macro="">
      <xdr:nvCxnSpPr>
        <xdr:cNvPr id="238" name="Straight Arrow Connector 237"/>
        <xdr:cNvCxnSpPr/>
      </xdr:nvCxnSpPr>
      <xdr:spPr>
        <a:xfrm>
          <a:off x="223647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10</xdr:row>
      <xdr:rowOff>0</xdr:rowOff>
    </xdr:from>
    <xdr:to>
      <xdr:col>89</xdr:col>
      <xdr:colOff>0</xdr:colOff>
      <xdr:row>10</xdr:row>
      <xdr:rowOff>0</xdr:rowOff>
    </xdr:to>
    <xdr:cxnSp macro="">
      <xdr:nvCxnSpPr>
        <xdr:cNvPr id="239" name="Straight Arrow Connector 238"/>
        <xdr:cNvCxnSpPr/>
      </xdr:nvCxnSpPr>
      <xdr:spPr>
        <a:xfrm>
          <a:off x="223647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23</xdr:row>
      <xdr:rowOff>0</xdr:rowOff>
    </xdr:from>
    <xdr:to>
      <xdr:col>91</xdr:col>
      <xdr:colOff>0</xdr:colOff>
      <xdr:row>23</xdr:row>
      <xdr:rowOff>0</xdr:rowOff>
    </xdr:to>
    <xdr:cxnSp macro="">
      <xdr:nvCxnSpPr>
        <xdr:cNvPr id="240" name="Straight Arrow Connector 239"/>
        <xdr:cNvCxnSpPr/>
      </xdr:nvCxnSpPr>
      <xdr:spPr>
        <a:xfrm>
          <a:off x="227914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19</xdr:row>
      <xdr:rowOff>0</xdr:rowOff>
    </xdr:from>
    <xdr:to>
      <xdr:col>91</xdr:col>
      <xdr:colOff>0</xdr:colOff>
      <xdr:row>19</xdr:row>
      <xdr:rowOff>0</xdr:rowOff>
    </xdr:to>
    <xdr:cxnSp macro="">
      <xdr:nvCxnSpPr>
        <xdr:cNvPr id="241" name="Straight Arrow Connector 240"/>
        <xdr:cNvCxnSpPr/>
      </xdr:nvCxnSpPr>
      <xdr:spPr>
        <a:xfrm>
          <a:off x="227914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12</xdr:row>
      <xdr:rowOff>0</xdr:rowOff>
    </xdr:from>
    <xdr:to>
      <xdr:col>91</xdr:col>
      <xdr:colOff>0</xdr:colOff>
      <xdr:row>12</xdr:row>
      <xdr:rowOff>0</xdr:rowOff>
    </xdr:to>
    <xdr:cxnSp macro="">
      <xdr:nvCxnSpPr>
        <xdr:cNvPr id="242" name="Straight Arrow Connector 241"/>
        <xdr:cNvCxnSpPr/>
      </xdr:nvCxnSpPr>
      <xdr:spPr>
        <a:xfrm>
          <a:off x="227914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10</xdr:row>
      <xdr:rowOff>0</xdr:rowOff>
    </xdr:from>
    <xdr:to>
      <xdr:col>91</xdr:col>
      <xdr:colOff>0</xdr:colOff>
      <xdr:row>10</xdr:row>
      <xdr:rowOff>0</xdr:rowOff>
    </xdr:to>
    <xdr:cxnSp macro="">
      <xdr:nvCxnSpPr>
        <xdr:cNvPr id="243" name="Straight Arrow Connector 242"/>
        <xdr:cNvCxnSpPr/>
      </xdr:nvCxnSpPr>
      <xdr:spPr>
        <a:xfrm>
          <a:off x="227914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23</xdr:row>
      <xdr:rowOff>0</xdr:rowOff>
    </xdr:from>
    <xdr:to>
      <xdr:col>94</xdr:col>
      <xdr:colOff>0</xdr:colOff>
      <xdr:row>23</xdr:row>
      <xdr:rowOff>0</xdr:rowOff>
    </xdr:to>
    <xdr:cxnSp macro="">
      <xdr:nvCxnSpPr>
        <xdr:cNvPr id="244" name="Straight Arrow Connector 243"/>
        <xdr:cNvCxnSpPr/>
      </xdr:nvCxnSpPr>
      <xdr:spPr>
        <a:xfrm>
          <a:off x="234315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21</xdr:row>
      <xdr:rowOff>0</xdr:rowOff>
    </xdr:from>
    <xdr:to>
      <xdr:col>94</xdr:col>
      <xdr:colOff>0</xdr:colOff>
      <xdr:row>21</xdr:row>
      <xdr:rowOff>0</xdr:rowOff>
    </xdr:to>
    <xdr:cxnSp macro="">
      <xdr:nvCxnSpPr>
        <xdr:cNvPr id="245" name="Straight Arrow Connector 244"/>
        <xdr:cNvCxnSpPr/>
      </xdr:nvCxnSpPr>
      <xdr:spPr>
        <a:xfrm>
          <a:off x="234315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19</xdr:row>
      <xdr:rowOff>0</xdr:rowOff>
    </xdr:from>
    <xdr:to>
      <xdr:col>94</xdr:col>
      <xdr:colOff>0</xdr:colOff>
      <xdr:row>19</xdr:row>
      <xdr:rowOff>0</xdr:rowOff>
    </xdr:to>
    <xdr:cxnSp macro="">
      <xdr:nvCxnSpPr>
        <xdr:cNvPr id="246" name="Straight Arrow Connector 245"/>
        <xdr:cNvCxnSpPr/>
      </xdr:nvCxnSpPr>
      <xdr:spPr>
        <a:xfrm>
          <a:off x="234315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12</xdr:row>
      <xdr:rowOff>0</xdr:rowOff>
    </xdr:from>
    <xdr:to>
      <xdr:col>94</xdr:col>
      <xdr:colOff>0</xdr:colOff>
      <xdr:row>12</xdr:row>
      <xdr:rowOff>0</xdr:rowOff>
    </xdr:to>
    <xdr:cxnSp macro="">
      <xdr:nvCxnSpPr>
        <xdr:cNvPr id="247" name="Straight Arrow Connector 246"/>
        <xdr:cNvCxnSpPr/>
      </xdr:nvCxnSpPr>
      <xdr:spPr>
        <a:xfrm>
          <a:off x="234315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10</xdr:row>
      <xdr:rowOff>0</xdr:rowOff>
    </xdr:from>
    <xdr:to>
      <xdr:col>94</xdr:col>
      <xdr:colOff>0</xdr:colOff>
      <xdr:row>10</xdr:row>
      <xdr:rowOff>0</xdr:rowOff>
    </xdr:to>
    <xdr:cxnSp macro="">
      <xdr:nvCxnSpPr>
        <xdr:cNvPr id="248" name="Straight Arrow Connector 247"/>
        <xdr:cNvCxnSpPr/>
      </xdr:nvCxnSpPr>
      <xdr:spPr>
        <a:xfrm>
          <a:off x="234315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23</xdr:row>
      <xdr:rowOff>0</xdr:rowOff>
    </xdr:from>
    <xdr:to>
      <xdr:col>95</xdr:col>
      <xdr:colOff>0</xdr:colOff>
      <xdr:row>23</xdr:row>
      <xdr:rowOff>0</xdr:rowOff>
    </xdr:to>
    <xdr:cxnSp macro="">
      <xdr:nvCxnSpPr>
        <xdr:cNvPr id="249" name="Straight Arrow Connector 248"/>
        <xdr:cNvCxnSpPr/>
      </xdr:nvCxnSpPr>
      <xdr:spPr>
        <a:xfrm>
          <a:off x="236448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21</xdr:row>
      <xdr:rowOff>0</xdr:rowOff>
    </xdr:from>
    <xdr:to>
      <xdr:col>95</xdr:col>
      <xdr:colOff>0</xdr:colOff>
      <xdr:row>21</xdr:row>
      <xdr:rowOff>0</xdr:rowOff>
    </xdr:to>
    <xdr:cxnSp macro="">
      <xdr:nvCxnSpPr>
        <xdr:cNvPr id="250" name="Straight Arrow Connector 249"/>
        <xdr:cNvCxnSpPr/>
      </xdr:nvCxnSpPr>
      <xdr:spPr>
        <a:xfrm>
          <a:off x="236448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19</xdr:row>
      <xdr:rowOff>0</xdr:rowOff>
    </xdr:from>
    <xdr:to>
      <xdr:col>95</xdr:col>
      <xdr:colOff>0</xdr:colOff>
      <xdr:row>19</xdr:row>
      <xdr:rowOff>0</xdr:rowOff>
    </xdr:to>
    <xdr:cxnSp macro="">
      <xdr:nvCxnSpPr>
        <xdr:cNvPr id="251" name="Straight Arrow Connector 250"/>
        <xdr:cNvCxnSpPr/>
      </xdr:nvCxnSpPr>
      <xdr:spPr>
        <a:xfrm>
          <a:off x="236448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12</xdr:row>
      <xdr:rowOff>0</xdr:rowOff>
    </xdr:from>
    <xdr:to>
      <xdr:col>95</xdr:col>
      <xdr:colOff>0</xdr:colOff>
      <xdr:row>12</xdr:row>
      <xdr:rowOff>0</xdr:rowOff>
    </xdr:to>
    <xdr:cxnSp macro="">
      <xdr:nvCxnSpPr>
        <xdr:cNvPr id="252" name="Straight Arrow Connector 251"/>
        <xdr:cNvCxnSpPr/>
      </xdr:nvCxnSpPr>
      <xdr:spPr>
        <a:xfrm>
          <a:off x="236448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10</xdr:row>
      <xdr:rowOff>0</xdr:rowOff>
    </xdr:from>
    <xdr:to>
      <xdr:col>95</xdr:col>
      <xdr:colOff>0</xdr:colOff>
      <xdr:row>10</xdr:row>
      <xdr:rowOff>0</xdr:rowOff>
    </xdr:to>
    <xdr:cxnSp macro="">
      <xdr:nvCxnSpPr>
        <xdr:cNvPr id="253" name="Straight Arrow Connector 252"/>
        <xdr:cNvCxnSpPr/>
      </xdr:nvCxnSpPr>
      <xdr:spPr>
        <a:xfrm>
          <a:off x="236448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23</xdr:row>
      <xdr:rowOff>0</xdr:rowOff>
    </xdr:from>
    <xdr:to>
      <xdr:col>96</xdr:col>
      <xdr:colOff>0</xdr:colOff>
      <xdr:row>23</xdr:row>
      <xdr:rowOff>0</xdr:rowOff>
    </xdr:to>
    <xdr:cxnSp macro="">
      <xdr:nvCxnSpPr>
        <xdr:cNvPr id="254" name="Straight Arrow Connector 253"/>
        <xdr:cNvCxnSpPr/>
      </xdr:nvCxnSpPr>
      <xdr:spPr>
        <a:xfrm>
          <a:off x="23858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21</xdr:row>
      <xdr:rowOff>0</xdr:rowOff>
    </xdr:from>
    <xdr:to>
      <xdr:col>96</xdr:col>
      <xdr:colOff>0</xdr:colOff>
      <xdr:row>21</xdr:row>
      <xdr:rowOff>0</xdr:rowOff>
    </xdr:to>
    <xdr:cxnSp macro="">
      <xdr:nvCxnSpPr>
        <xdr:cNvPr id="255" name="Straight Arrow Connector 254"/>
        <xdr:cNvCxnSpPr/>
      </xdr:nvCxnSpPr>
      <xdr:spPr>
        <a:xfrm>
          <a:off x="23858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19</xdr:row>
      <xdr:rowOff>0</xdr:rowOff>
    </xdr:from>
    <xdr:to>
      <xdr:col>96</xdr:col>
      <xdr:colOff>0</xdr:colOff>
      <xdr:row>19</xdr:row>
      <xdr:rowOff>0</xdr:rowOff>
    </xdr:to>
    <xdr:cxnSp macro="">
      <xdr:nvCxnSpPr>
        <xdr:cNvPr id="256" name="Straight Arrow Connector 255"/>
        <xdr:cNvCxnSpPr/>
      </xdr:nvCxnSpPr>
      <xdr:spPr>
        <a:xfrm>
          <a:off x="23858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12</xdr:row>
      <xdr:rowOff>0</xdr:rowOff>
    </xdr:from>
    <xdr:to>
      <xdr:col>96</xdr:col>
      <xdr:colOff>0</xdr:colOff>
      <xdr:row>12</xdr:row>
      <xdr:rowOff>0</xdr:rowOff>
    </xdr:to>
    <xdr:cxnSp macro="">
      <xdr:nvCxnSpPr>
        <xdr:cNvPr id="257" name="Straight Arrow Connector 256"/>
        <xdr:cNvCxnSpPr/>
      </xdr:nvCxnSpPr>
      <xdr:spPr>
        <a:xfrm>
          <a:off x="23858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10</xdr:row>
      <xdr:rowOff>0</xdr:rowOff>
    </xdr:from>
    <xdr:to>
      <xdr:col>96</xdr:col>
      <xdr:colOff>0</xdr:colOff>
      <xdr:row>10</xdr:row>
      <xdr:rowOff>0</xdr:rowOff>
    </xdr:to>
    <xdr:cxnSp macro="">
      <xdr:nvCxnSpPr>
        <xdr:cNvPr id="258" name="Straight Arrow Connector 257"/>
        <xdr:cNvCxnSpPr/>
      </xdr:nvCxnSpPr>
      <xdr:spPr>
        <a:xfrm>
          <a:off x="23858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23</xdr:row>
      <xdr:rowOff>0</xdr:rowOff>
    </xdr:from>
    <xdr:to>
      <xdr:col>97</xdr:col>
      <xdr:colOff>0</xdr:colOff>
      <xdr:row>23</xdr:row>
      <xdr:rowOff>0</xdr:rowOff>
    </xdr:to>
    <xdr:cxnSp macro="">
      <xdr:nvCxnSpPr>
        <xdr:cNvPr id="259" name="Straight Arrow Connector 258"/>
        <xdr:cNvCxnSpPr/>
      </xdr:nvCxnSpPr>
      <xdr:spPr>
        <a:xfrm>
          <a:off x="240715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21</xdr:row>
      <xdr:rowOff>0</xdr:rowOff>
    </xdr:from>
    <xdr:to>
      <xdr:col>97</xdr:col>
      <xdr:colOff>0</xdr:colOff>
      <xdr:row>21</xdr:row>
      <xdr:rowOff>0</xdr:rowOff>
    </xdr:to>
    <xdr:cxnSp macro="">
      <xdr:nvCxnSpPr>
        <xdr:cNvPr id="260" name="Straight Arrow Connector 259"/>
        <xdr:cNvCxnSpPr/>
      </xdr:nvCxnSpPr>
      <xdr:spPr>
        <a:xfrm>
          <a:off x="240715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19</xdr:row>
      <xdr:rowOff>0</xdr:rowOff>
    </xdr:from>
    <xdr:to>
      <xdr:col>97</xdr:col>
      <xdr:colOff>0</xdr:colOff>
      <xdr:row>19</xdr:row>
      <xdr:rowOff>0</xdr:rowOff>
    </xdr:to>
    <xdr:cxnSp macro="">
      <xdr:nvCxnSpPr>
        <xdr:cNvPr id="261" name="Straight Arrow Connector 260"/>
        <xdr:cNvCxnSpPr/>
      </xdr:nvCxnSpPr>
      <xdr:spPr>
        <a:xfrm>
          <a:off x="240715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12</xdr:row>
      <xdr:rowOff>0</xdr:rowOff>
    </xdr:from>
    <xdr:to>
      <xdr:col>97</xdr:col>
      <xdr:colOff>0</xdr:colOff>
      <xdr:row>12</xdr:row>
      <xdr:rowOff>0</xdr:rowOff>
    </xdr:to>
    <xdr:cxnSp macro="">
      <xdr:nvCxnSpPr>
        <xdr:cNvPr id="262" name="Straight Arrow Connector 261"/>
        <xdr:cNvCxnSpPr/>
      </xdr:nvCxnSpPr>
      <xdr:spPr>
        <a:xfrm>
          <a:off x="240715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10</xdr:row>
      <xdr:rowOff>0</xdr:rowOff>
    </xdr:from>
    <xdr:to>
      <xdr:col>97</xdr:col>
      <xdr:colOff>0</xdr:colOff>
      <xdr:row>10</xdr:row>
      <xdr:rowOff>0</xdr:rowOff>
    </xdr:to>
    <xdr:cxnSp macro="">
      <xdr:nvCxnSpPr>
        <xdr:cNvPr id="263" name="Straight Arrow Connector 262"/>
        <xdr:cNvCxnSpPr/>
      </xdr:nvCxnSpPr>
      <xdr:spPr>
        <a:xfrm>
          <a:off x="240715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23</xdr:row>
      <xdr:rowOff>0</xdr:rowOff>
    </xdr:from>
    <xdr:to>
      <xdr:col>99</xdr:col>
      <xdr:colOff>0</xdr:colOff>
      <xdr:row>23</xdr:row>
      <xdr:rowOff>0</xdr:rowOff>
    </xdr:to>
    <xdr:cxnSp macro="">
      <xdr:nvCxnSpPr>
        <xdr:cNvPr id="264" name="Straight Arrow Connector 263"/>
        <xdr:cNvCxnSpPr/>
      </xdr:nvCxnSpPr>
      <xdr:spPr>
        <a:xfrm>
          <a:off x="244983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19</xdr:row>
      <xdr:rowOff>0</xdr:rowOff>
    </xdr:from>
    <xdr:to>
      <xdr:col>99</xdr:col>
      <xdr:colOff>0</xdr:colOff>
      <xdr:row>19</xdr:row>
      <xdr:rowOff>0</xdr:rowOff>
    </xdr:to>
    <xdr:cxnSp macro="">
      <xdr:nvCxnSpPr>
        <xdr:cNvPr id="265" name="Straight Arrow Connector 264"/>
        <xdr:cNvCxnSpPr/>
      </xdr:nvCxnSpPr>
      <xdr:spPr>
        <a:xfrm>
          <a:off x="244983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12</xdr:row>
      <xdr:rowOff>0</xdr:rowOff>
    </xdr:from>
    <xdr:to>
      <xdr:col>99</xdr:col>
      <xdr:colOff>0</xdr:colOff>
      <xdr:row>12</xdr:row>
      <xdr:rowOff>0</xdr:rowOff>
    </xdr:to>
    <xdr:cxnSp macro="">
      <xdr:nvCxnSpPr>
        <xdr:cNvPr id="266" name="Straight Arrow Connector 265"/>
        <xdr:cNvCxnSpPr/>
      </xdr:nvCxnSpPr>
      <xdr:spPr>
        <a:xfrm>
          <a:off x="244983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10</xdr:row>
      <xdr:rowOff>0</xdr:rowOff>
    </xdr:from>
    <xdr:to>
      <xdr:col>99</xdr:col>
      <xdr:colOff>0</xdr:colOff>
      <xdr:row>10</xdr:row>
      <xdr:rowOff>0</xdr:rowOff>
    </xdr:to>
    <xdr:cxnSp macro="">
      <xdr:nvCxnSpPr>
        <xdr:cNvPr id="267" name="Straight Arrow Connector 266"/>
        <xdr:cNvCxnSpPr/>
      </xdr:nvCxnSpPr>
      <xdr:spPr>
        <a:xfrm>
          <a:off x="244983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9</xdr:row>
      <xdr:rowOff>50800</xdr:rowOff>
    </xdr:from>
    <xdr:to>
      <xdr:col>5</xdr:col>
      <xdr:colOff>162560</xdr:colOff>
      <xdr:row>9</xdr:row>
      <xdr:rowOff>172720</xdr:rowOff>
    </xdr:to>
    <xdr:sp macro="" textlink="">
      <xdr:nvSpPr>
        <xdr:cNvPr id="268" name="Rectangle 267"/>
        <xdr:cNvSpPr/>
      </xdr:nvSpPr>
      <xdr:spPr>
        <a:xfrm>
          <a:off x="1422400" y="23063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142240</xdr:colOff>
      <xdr:row>9</xdr:row>
      <xdr:rowOff>50800</xdr:rowOff>
    </xdr:from>
    <xdr:to>
      <xdr:col>4</xdr:col>
      <xdr:colOff>254000</xdr:colOff>
      <xdr:row>9</xdr:row>
      <xdr:rowOff>172720</xdr:rowOff>
    </xdr:to>
    <xdr:sp macro="" textlink="">
      <xdr:nvSpPr>
        <xdr:cNvPr id="269" name="Rectangle 268"/>
        <xdr:cNvSpPr/>
      </xdr:nvSpPr>
      <xdr:spPr>
        <a:xfrm>
          <a:off x="1201420" y="23063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50800</xdr:colOff>
      <xdr:row>4</xdr:row>
      <xdr:rowOff>50800</xdr:rowOff>
    </xdr:from>
    <xdr:to>
      <xdr:col>2</xdr:col>
      <xdr:colOff>162560</xdr:colOff>
      <xdr:row>4</xdr:row>
      <xdr:rowOff>172720</xdr:rowOff>
    </xdr:to>
    <xdr:sp macro="" textlink="">
      <xdr:nvSpPr>
        <xdr:cNvPr id="270" name="Rectangle 269"/>
        <xdr:cNvSpPr/>
      </xdr:nvSpPr>
      <xdr:spPr>
        <a:xfrm>
          <a:off x="485140" y="9728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142240</xdr:colOff>
      <xdr:row>4</xdr:row>
      <xdr:rowOff>50800</xdr:rowOff>
    </xdr:from>
    <xdr:to>
      <xdr:col>1</xdr:col>
      <xdr:colOff>254000</xdr:colOff>
      <xdr:row>4</xdr:row>
      <xdr:rowOff>172720</xdr:rowOff>
    </xdr:to>
    <xdr:sp macro="" textlink="">
      <xdr:nvSpPr>
        <xdr:cNvPr id="271" name="Rectangle 270"/>
        <xdr:cNvSpPr/>
      </xdr:nvSpPr>
      <xdr:spPr>
        <a:xfrm>
          <a:off x="264160" y="9728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71120</xdr:colOff>
      <xdr:row>6</xdr:row>
      <xdr:rowOff>193040</xdr:rowOff>
    </xdr:from>
    <xdr:to>
      <xdr:col>5</xdr:col>
      <xdr:colOff>10160</xdr:colOff>
      <xdr:row>9</xdr:row>
      <xdr:rowOff>111760</xdr:rowOff>
    </xdr:to>
    <xdr:cxnSp macro="">
      <xdr:nvCxnSpPr>
        <xdr:cNvPr id="272" name="Straight Arrow Connector 271"/>
        <xdr:cNvCxnSpPr/>
      </xdr:nvCxnSpPr>
      <xdr:spPr>
        <a:xfrm>
          <a:off x="817880" y="1648460"/>
          <a:ext cx="563880" cy="71882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9</xdr:row>
      <xdr:rowOff>50800</xdr:rowOff>
    </xdr:from>
    <xdr:to>
      <xdr:col>13</xdr:col>
      <xdr:colOff>162560</xdr:colOff>
      <xdr:row>9</xdr:row>
      <xdr:rowOff>172720</xdr:rowOff>
    </xdr:to>
    <xdr:sp macro="" textlink="">
      <xdr:nvSpPr>
        <xdr:cNvPr id="273" name="Rectangle 272"/>
        <xdr:cNvSpPr/>
      </xdr:nvSpPr>
      <xdr:spPr>
        <a:xfrm>
          <a:off x="3921760" y="23063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13</xdr:col>
      <xdr:colOff>60960</xdr:colOff>
      <xdr:row>10</xdr:row>
      <xdr:rowOff>162560</xdr:rowOff>
    </xdr:from>
    <xdr:to>
      <xdr:col>13</xdr:col>
      <xdr:colOff>172720</xdr:colOff>
      <xdr:row>11</xdr:row>
      <xdr:rowOff>20320</xdr:rowOff>
    </xdr:to>
    <xdr:sp macro="" textlink="">
      <xdr:nvSpPr>
        <xdr:cNvPr id="274" name="Rectangle 273"/>
        <xdr:cNvSpPr/>
      </xdr:nvSpPr>
      <xdr:spPr>
        <a:xfrm>
          <a:off x="3931920" y="2684780"/>
          <a:ext cx="111760" cy="12446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152400</xdr:colOff>
      <xdr:row>24</xdr:row>
      <xdr:rowOff>81280</xdr:rowOff>
    </xdr:from>
    <xdr:to>
      <xdr:col>4</xdr:col>
      <xdr:colOff>264160</xdr:colOff>
      <xdr:row>24</xdr:row>
      <xdr:rowOff>203200</xdr:rowOff>
    </xdr:to>
    <xdr:sp macro="" textlink="">
      <xdr:nvSpPr>
        <xdr:cNvPr id="275" name="Rectangle 274"/>
        <xdr:cNvSpPr/>
      </xdr:nvSpPr>
      <xdr:spPr>
        <a:xfrm>
          <a:off x="1211580" y="633730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50800</xdr:colOff>
      <xdr:row>24</xdr:row>
      <xdr:rowOff>91440</xdr:rowOff>
    </xdr:from>
    <xdr:to>
      <xdr:col>5</xdr:col>
      <xdr:colOff>162560</xdr:colOff>
      <xdr:row>24</xdr:row>
      <xdr:rowOff>213360</xdr:rowOff>
    </xdr:to>
    <xdr:sp macro="" textlink="">
      <xdr:nvSpPr>
        <xdr:cNvPr id="276" name="Rectangle 275"/>
        <xdr:cNvSpPr/>
      </xdr:nvSpPr>
      <xdr:spPr>
        <a:xfrm>
          <a:off x="1422400" y="63474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12</xdr:col>
      <xdr:colOff>152400</xdr:colOff>
      <xdr:row>24</xdr:row>
      <xdr:rowOff>81280</xdr:rowOff>
    </xdr:from>
    <xdr:to>
      <xdr:col>12</xdr:col>
      <xdr:colOff>264160</xdr:colOff>
      <xdr:row>24</xdr:row>
      <xdr:rowOff>203200</xdr:rowOff>
    </xdr:to>
    <xdr:sp macro="" textlink="">
      <xdr:nvSpPr>
        <xdr:cNvPr id="277" name="Rectangle 276"/>
        <xdr:cNvSpPr/>
      </xdr:nvSpPr>
      <xdr:spPr>
        <a:xfrm>
          <a:off x="3710940" y="633730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13</xdr:col>
      <xdr:colOff>50800</xdr:colOff>
      <xdr:row>24</xdr:row>
      <xdr:rowOff>91440</xdr:rowOff>
    </xdr:from>
    <xdr:to>
      <xdr:col>13</xdr:col>
      <xdr:colOff>162560</xdr:colOff>
      <xdr:row>24</xdr:row>
      <xdr:rowOff>213360</xdr:rowOff>
    </xdr:to>
    <xdr:sp macro="" textlink="">
      <xdr:nvSpPr>
        <xdr:cNvPr id="278" name="Rectangle 277"/>
        <xdr:cNvSpPr/>
      </xdr:nvSpPr>
      <xdr:spPr>
        <a:xfrm>
          <a:off x="3921760" y="63474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50800</xdr:colOff>
      <xdr:row>16</xdr:row>
      <xdr:rowOff>71120</xdr:rowOff>
    </xdr:from>
    <xdr:to>
      <xdr:col>1</xdr:col>
      <xdr:colOff>162560</xdr:colOff>
      <xdr:row>16</xdr:row>
      <xdr:rowOff>193040</xdr:rowOff>
    </xdr:to>
    <xdr:sp macro="" textlink="">
      <xdr:nvSpPr>
        <xdr:cNvPr id="279" name="Rectangle 278"/>
        <xdr:cNvSpPr/>
      </xdr:nvSpPr>
      <xdr:spPr>
        <a:xfrm>
          <a:off x="172720" y="419354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40640</xdr:colOff>
      <xdr:row>17</xdr:row>
      <xdr:rowOff>40640</xdr:rowOff>
    </xdr:from>
    <xdr:to>
      <xdr:col>1</xdr:col>
      <xdr:colOff>152400</xdr:colOff>
      <xdr:row>17</xdr:row>
      <xdr:rowOff>162560</xdr:rowOff>
    </xdr:to>
    <xdr:sp macro="" textlink="">
      <xdr:nvSpPr>
        <xdr:cNvPr id="280" name="Rectangle 279"/>
        <xdr:cNvSpPr/>
      </xdr:nvSpPr>
      <xdr:spPr>
        <a:xfrm>
          <a:off x="162560" y="44297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152400</xdr:colOff>
      <xdr:row>16</xdr:row>
      <xdr:rowOff>101600</xdr:rowOff>
    </xdr:from>
    <xdr:to>
      <xdr:col>16</xdr:col>
      <xdr:colOff>264160</xdr:colOff>
      <xdr:row>16</xdr:row>
      <xdr:rowOff>223520</xdr:rowOff>
    </xdr:to>
    <xdr:sp macro="" textlink="">
      <xdr:nvSpPr>
        <xdr:cNvPr id="281" name="Rectangle 280"/>
        <xdr:cNvSpPr/>
      </xdr:nvSpPr>
      <xdr:spPr>
        <a:xfrm>
          <a:off x="4960620" y="42240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152400</xdr:colOff>
      <xdr:row>17</xdr:row>
      <xdr:rowOff>40640</xdr:rowOff>
    </xdr:from>
    <xdr:to>
      <xdr:col>16</xdr:col>
      <xdr:colOff>264160</xdr:colOff>
      <xdr:row>17</xdr:row>
      <xdr:rowOff>162560</xdr:rowOff>
    </xdr:to>
    <xdr:sp macro="" textlink="">
      <xdr:nvSpPr>
        <xdr:cNvPr id="282" name="Rectangle 281"/>
        <xdr:cNvSpPr/>
      </xdr:nvSpPr>
      <xdr:spPr>
        <a:xfrm>
          <a:off x="4960620" y="44297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233680</xdr:colOff>
      <xdr:row>8</xdr:row>
      <xdr:rowOff>152400</xdr:rowOff>
    </xdr:from>
    <xdr:to>
      <xdr:col>7</xdr:col>
      <xdr:colOff>81280</xdr:colOff>
      <xdr:row>11</xdr:row>
      <xdr:rowOff>10160</xdr:rowOff>
    </xdr:to>
    <xdr:cxnSp macro="">
      <xdr:nvCxnSpPr>
        <xdr:cNvPr id="283" name="Straight Arrow Connector 282"/>
        <xdr:cNvCxnSpPr/>
      </xdr:nvCxnSpPr>
      <xdr:spPr>
        <a:xfrm flipH="1">
          <a:off x="1292860" y="2141220"/>
          <a:ext cx="784860" cy="65786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20320</xdr:colOff>
      <xdr:row>8</xdr:row>
      <xdr:rowOff>152400</xdr:rowOff>
    </xdr:from>
    <xdr:to>
      <xdr:col>7</xdr:col>
      <xdr:colOff>101600</xdr:colOff>
      <xdr:row>12</xdr:row>
      <xdr:rowOff>30480</xdr:rowOff>
    </xdr:to>
    <xdr:cxnSp macro="">
      <xdr:nvCxnSpPr>
        <xdr:cNvPr id="284" name="Straight Arrow Connector 283"/>
        <xdr:cNvCxnSpPr/>
      </xdr:nvCxnSpPr>
      <xdr:spPr>
        <a:xfrm flipH="1">
          <a:off x="2016760" y="2141220"/>
          <a:ext cx="81280" cy="94488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193040</xdr:colOff>
      <xdr:row>8</xdr:row>
      <xdr:rowOff>20320</xdr:rowOff>
    </xdr:from>
    <xdr:to>
      <xdr:col>14</xdr:col>
      <xdr:colOff>111760</xdr:colOff>
      <xdr:row>12</xdr:row>
      <xdr:rowOff>50800</xdr:rowOff>
    </xdr:to>
    <xdr:cxnSp macro="">
      <xdr:nvCxnSpPr>
        <xdr:cNvPr id="285" name="Straight Arrow Connector 284"/>
        <xdr:cNvCxnSpPr/>
      </xdr:nvCxnSpPr>
      <xdr:spPr>
        <a:xfrm>
          <a:off x="4064000" y="2009140"/>
          <a:ext cx="231140" cy="109728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40640</xdr:colOff>
      <xdr:row>8</xdr:row>
      <xdr:rowOff>111760</xdr:rowOff>
    </xdr:from>
    <xdr:to>
      <xdr:col>4</xdr:col>
      <xdr:colOff>10160</xdr:colOff>
      <xdr:row>9</xdr:row>
      <xdr:rowOff>111760</xdr:rowOff>
    </xdr:to>
    <xdr:cxnSp macro="">
      <xdr:nvCxnSpPr>
        <xdr:cNvPr id="286" name="Straight Arrow Connector 285"/>
        <xdr:cNvCxnSpPr/>
      </xdr:nvCxnSpPr>
      <xdr:spPr>
        <a:xfrm>
          <a:off x="474980" y="2100580"/>
          <a:ext cx="594360" cy="26670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281305</xdr:colOff>
      <xdr:row>1</xdr:row>
      <xdr:rowOff>219075</xdr:rowOff>
    </xdr:from>
    <xdr:to>
      <xdr:col>41</xdr:col>
      <xdr:colOff>127000</xdr:colOff>
      <xdr:row>10</xdr:row>
      <xdr:rowOff>165100</xdr:rowOff>
    </xdr:to>
    <xdr:pic>
      <xdr:nvPicPr>
        <xdr:cNvPr id="2" name="Picture 1" descr="http://www.arch.hku.hk/teaching/lectures/airvent/lect07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85225" y="531495"/>
          <a:ext cx="3114675" cy="234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42</xdr:col>
      <xdr:colOff>114301</xdr:colOff>
      <xdr:row>1</xdr:row>
      <xdr:rowOff>203201</xdr:rowOff>
    </xdr:from>
    <xdr:to>
      <xdr:col>55</xdr:col>
      <xdr:colOff>25401</xdr:colOff>
      <xdr:row>10</xdr:row>
      <xdr:rowOff>127000</xdr:rowOff>
    </xdr:to>
    <xdr:pic>
      <xdr:nvPicPr>
        <xdr:cNvPr id="3" name="Picture 2" descr="http://www.arch.hku.hk/teaching/lectures/airvent/lect076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84381" y="515621"/>
          <a:ext cx="3774440" cy="2324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5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4.bin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10" Type="http://schemas.openxmlformats.org/officeDocument/2006/relationships/oleObject" Target="../embeddings/oleObject7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54"/>
  <sheetViews>
    <sheetView tabSelected="1" zoomScale="60" zoomScaleNormal="60" workbookViewId="0">
      <selection activeCell="BG34" sqref="BG34"/>
    </sheetView>
  </sheetViews>
  <sheetFormatPr defaultColWidth="2.19921875" defaultRowHeight="16.95" customHeight="1"/>
  <cols>
    <col min="1" max="5" width="2.19921875" style="742"/>
    <col min="6" max="8" width="3.19921875" style="739" customWidth="1"/>
    <col min="9" max="9" width="2.19921875" style="742"/>
    <col min="10" max="42" width="2.19921875" style="788"/>
    <col min="43" max="45" width="3.19921875" style="739" customWidth="1"/>
    <col min="46" max="16384" width="2.19921875" style="742"/>
  </cols>
  <sheetData>
    <row r="1" spans="1:50" ht="16.95" customHeight="1">
      <c r="A1" s="738"/>
      <c r="B1" s="738"/>
      <c r="C1" s="738"/>
      <c r="D1" s="738"/>
      <c r="E1" s="738"/>
      <c r="I1" s="738"/>
      <c r="J1" s="760"/>
      <c r="K1" s="760"/>
      <c r="L1" s="760"/>
      <c r="M1" s="760"/>
      <c r="N1" s="760"/>
      <c r="O1" s="760"/>
      <c r="P1" s="760"/>
      <c r="Q1" s="760"/>
      <c r="R1" s="760"/>
      <c r="S1" s="760"/>
      <c r="T1" s="760"/>
      <c r="U1" s="760"/>
      <c r="V1" s="760"/>
      <c r="W1" s="760"/>
      <c r="X1" s="760"/>
      <c r="Y1" s="760"/>
      <c r="Z1" s="760"/>
      <c r="AA1" s="760"/>
      <c r="AB1" s="760"/>
      <c r="AC1" s="760"/>
      <c r="AD1" s="760"/>
      <c r="AE1" s="760"/>
      <c r="AF1" s="760"/>
      <c r="AG1" s="760"/>
      <c r="AH1" s="760"/>
      <c r="AI1" s="760"/>
      <c r="AJ1" s="760"/>
      <c r="AK1" s="760"/>
      <c r="AL1" s="760"/>
      <c r="AM1" s="760"/>
      <c r="AN1" s="760"/>
      <c r="AO1" s="760"/>
      <c r="AR1" s="741"/>
      <c r="AS1" s="741"/>
      <c r="AT1" s="738"/>
      <c r="AU1" s="738"/>
      <c r="AV1" s="738"/>
      <c r="AW1" s="738"/>
      <c r="AX1" s="738"/>
    </row>
    <row r="2" spans="1:50" ht="16.95" customHeight="1" thickBot="1">
      <c r="A2" s="738"/>
      <c r="B2" s="738"/>
      <c r="C2" s="738"/>
      <c r="D2" s="738"/>
      <c r="E2" s="738"/>
      <c r="H2" s="743">
        <f t="shared" ref="H2:H46" si="0">H3 + G3</f>
        <v>600</v>
      </c>
      <c r="I2" s="738"/>
      <c r="J2" s="760"/>
      <c r="K2" s="760" t="s">
        <v>252</v>
      </c>
      <c r="L2" s="760"/>
      <c r="M2" s="760"/>
      <c r="N2" s="760"/>
      <c r="O2" s="760"/>
      <c r="P2" s="760"/>
      <c r="Q2" s="789"/>
      <c r="R2" s="789"/>
      <c r="S2" s="789"/>
      <c r="T2" s="789"/>
      <c r="U2" s="789"/>
      <c r="V2" s="789"/>
      <c r="W2" s="789"/>
      <c r="X2" s="789"/>
      <c r="Y2" s="789"/>
      <c r="Z2" s="789"/>
      <c r="AA2" s="789"/>
      <c r="AB2" s="789"/>
      <c r="AC2" s="789"/>
      <c r="AD2" s="789"/>
      <c r="AE2" s="789"/>
      <c r="AF2" s="789"/>
      <c r="AG2" s="789"/>
      <c r="AH2" s="789"/>
      <c r="AI2" s="789"/>
      <c r="AJ2" s="789"/>
      <c r="AK2" s="789"/>
      <c r="AL2" s="789"/>
      <c r="AM2" s="789"/>
      <c r="AN2" s="789"/>
      <c r="AO2" s="789"/>
      <c r="AP2" s="790"/>
      <c r="AQ2" s="743">
        <f t="shared" ref="AQ2:AQ46" si="1">AQ3 + G3</f>
        <v>600</v>
      </c>
      <c r="AR2" s="741"/>
      <c r="AS2" s="741"/>
      <c r="AT2" s="738"/>
      <c r="AU2" s="738"/>
      <c r="AV2" s="738"/>
      <c r="AW2" s="738"/>
      <c r="AX2" s="738"/>
    </row>
    <row r="3" spans="1:50" ht="16.95" customHeight="1" thickBot="1">
      <c r="A3" s="738"/>
      <c r="B3" s="738"/>
      <c r="C3" s="738"/>
      <c r="D3" s="738"/>
      <c r="E3" s="738"/>
      <c r="F3" s="745" t="s">
        <v>253</v>
      </c>
      <c r="G3" s="745">
        <v>30</v>
      </c>
      <c r="H3" s="743">
        <f t="shared" si="0"/>
        <v>570</v>
      </c>
      <c r="I3" s="746"/>
      <c r="J3" s="791"/>
      <c r="K3" s="791"/>
      <c r="L3" s="791"/>
      <c r="M3" s="789"/>
      <c r="N3" s="789"/>
      <c r="O3" s="789"/>
      <c r="P3" s="789"/>
      <c r="Q3" s="789"/>
      <c r="R3" s="792" t="s">
        <v>254</v>
      </c>
      <c r="S3" s="789"/>
      <c r="T3" s="789"/>
      <c r="U3" s="789"/>
      <c r="V3" s="793"/>
      <c r="W3" s="793"/>
      <c r="X3" s="789"/>
      <c r="Y3" s="789"/>
      <c r="Z3" s="794" t="s">
        <v>255</v>
      </c>
      <c r="AA3" s="789"/>
      <c r="AB3" s="789"/>
      <c r="AC3" s="792"/>
      <c r="AD3" s="793"/>
      <c r="AE3" s="789"/>
      <c r="AF3" s="789" t="s">
        <v>256</v>
      </c>
      <c r="AG3" s="789"/>
      <c r="AH3" s="789"/>
      <c r="AI3" s="789"/>
      <c r="AJ3" s="789"/>
      <c r="AK3" s="789"/>
      <c r="AL3" s="789"/>
      <c r="AM3" s="789"/>
      <c r="AN3" s="789"/>
      <c r="AO3" s="789"/>
      <c r="AP3" s="790"/>
      <c r="AQ3" s="743">
        <f t="shared" si="1"/>
        <v>570</v>
      </c>
      <c r="AR3" s="745" t="s">
        <v>253</v>
      </c>
      <c r="AS3" s="745" t="s">
        <v>253</v>
      </c>
      <c r="AT3" s="738"/>
    </row>
    <row r="4" spans="1:50" ht="16.95" customHeight="1" thickTop="1">
      <c r="A4" s="738"/>
      <c r="B4" s="738"/>
      <c r="C4" s="738"/>
      <c r="D4" s="738"/>
      <c r="E4" s="738"/>
      <c r="F4" s="745">
        <f t="shared" ref="F4:F47" si="2">F5 + 1</f>
        <v>45</v>
      </c>
      <c r="G4" s="745">
        <v>20</v>
      </c>
      <c r="H4" s="743">
        <f t="shared" si="0"/>
        <v>550</v>
      </c>
      <c r="I4" s="747"/>
      <c r="J4" s="795"/>
      <c r="K4" s="795"/>
      <c r="L4" s="795"/>
      <c r="M4" s="795"/>
      <c r="N4" s="795"/>
      <c r="O4" s="795"/>
      <c r="P4" s="795"/>
      <c r="Q4" s="795"/>
      <c r="R4" s="796" t="s">
        <v>257</v>
      </c>
      <c r="S4" s="797"/>
      <c r="T4" s="797"/>
      <c r="U4" s="798"/>
      <c r="V4" s="799" t="s">
        <v>258</v>
      </c>
      <c r="W4" s="800"/>
      <c r="X4" s="801"/>
      <c r="Y4" s="802" t="s">
        <v>259</v>
      </c>
      <c r="Z4" s="803"/>
      <c r="AA4" s="804"/>
      <c r="AB4" s="805"/>
      <c r="AC4" s="806"/>
      <c r="AD4" s="807"/>
      <c r="AE4" s="801"/>
      <c r="AF4" s="801"/>
      <c r="AG4" s="808"/>
      <c r="AH4" s="809"/>
      <c r="AI4" s="809"/>
      <c r="AJ4" s="795"/>
      <c r="AK4" s="795"/>
      <c r="AL4" s="795"/>
      <c r="AM4" s="795"/>
      <c r="AN4" s="795"/>
      <c r="AO4" s="795"/>
      <c r="AP4" s="810"/>
      <c r="AQ4" s="743">
        <f t="shared" si="1"/>
        <v>550</v>
      </c>
      <c r="AR4" s="745">
        <v>20</v>
      </c>
      <c r="AS4" s="745">
        <f t="shared" ref="AS4:AS47" si="3">AS5 + 1</f>
        <v>45</v>
      </c>
      <c r="AT4" s="738"/>
    </row>
    <row r="5" spans="1:50" ht="16.95" customHeight="1">
      <c r="A5" s="738"/>
      <c r="B5" s="738"/>
      <c r="C5" s="738"/>
      <c r="D5" s="738"/>
      <c r="E5" s="738"/>
      <c r="F5" s="745">
        <f t="shared" si="2"/>
        <v>44</v>
      </c>
      <c r="G5" s="745">
        <v>15</v>
      </c>
      <c r="H5" s="743">
        <f t="shared" si="0"/>
        <v>535</v>
      </c>
      <c r="I5" s="748"/>
      <c r="J5" s="811"/>
      <c r="K5" s="811"/>
      <c r="L5" s="811"/>
      <c r="M5" s="811"/>
      <c r="N5" s="811"/>
      <c r="O5" s="811"/>
      <c r="P5" s="811"/>
      <c r="Q5" s="811"/>
      <c r="R5" s="812" t="s">
        <v>260</v>
      </c>
      <c r="S5" s="813"/>
      <c r="T5" s="813"/>
      <c r="U5" s="813"/>
      <c r="V5" s="814" t="s">
        <v>261</v>
      </c>
      <c r="W5" s="815"/>
      <c r="X5" s="813"/>
      <c r="Y5" s="816" t="s">
        <v>262</v>
      </c>
      <c r="Z5" s="817"/>
      <c r="AA5" s="818"/>
      <c r="AB5" s="819"/>
      <c r="AC5" s="820"/>
      <c r="AD5" s="821"/>
      <c r="AE5" s="813"/>
      <c r="AF5" s="813"/>
      <c r="AG5" s="822"/>
      <c r="AH5" s="823"/>
      <c r="AI5" s="823"/>
      <c r="AJ5" s="811"/>
      <c r="AK5" s="811"/>
      <c r="AL5" s="811"/>
      <c r="AM5" s="811"/>
      <c r="AN5" s="811"/>
      <c r="AO5" s="811"/>
      <c r="AP5" s="824"/>
      <c r="AQ5" s="743">
        <f t="shared" si="1"/>
        <v>535</v>
      </c>
      <c r="AR5" s="745">
        <v>15</v>
      </c>
      <c r="AS5" s="745">
        <f t="shared" si="3"/>
        <v>44</v>
      </c>
      <c r="AT5" s="738"/>
    </row>
    <row r="6" spans="1:50" ht="16.95" customHeight="1">
      <c r="A6" s="738"/>
      <c r="B6" s="738"/>
      <c r="C6" s="738"/>
      <c r="D6" s="738"/>
      <c r="E6" s="738"/>
      <c r="F6" s="745">
        <f t="shared" si="2"/>
        <v>43</v>
      </c>
      <c r="G6" s="745">
        <v>10</v>
      </c>
      <c r="H6" s="743">
        <f t="shared" si="0"/>
        <v>525</v>
      </c>
      <c r="I6" s="738"/>
      <c r="J6" s="760" t="s">
        <v>263</v>
      </c>
      <c r="K6" s="760"/>
      <c r="L6" s="760"/>
      <c r="M6" s="760"/>
      <c r="N6" s="760"/>
      <c r="O6" s="760"/>
      <c r="P6" s="760"/>
      <c r="Q6" s="789"/>
      <c r="R6" s="825"/>
      <c r="S6" s="826"/>
      <c r="T6" s="826"/>
      <c r="U6" s="827"/>
      <c r="V6" s="827"/>
      <c r="W6" s="828"/>
      <c r="X6" s="826"/>
      <c r="Y6" s="827"/>
      <c r="Z6" s="829"/>
      <c r="AA6" s="830"/>
      <c r="AB6" s="831"/>
      <c r="AC6" s="832"/>
      <c r="AD6" s="832"/>
      <c r="AE6" s="826"/>
      <c r="AF6" s="826"/>
      <c r="AG6" s="833"/>
      <c r="AH6" s="793"/>
      <c r="AI6" s="793"/>
      <c r="AJ6" s="789"/>
      <c r="AK6" s="789"/>
      <c r="AL6" s="789"/>
      <c r="AM6" s="789"/>
      <c r="AN6" s="789"/>
      <c r="AO6" s="789"/>
      <c r="AP6" s="834"/>
      <c r="AQ6" s="743">
        <f t="shared" si="1"/>
        <v>525</v>
      </c>
      <c r="AR6" s="745">
        <v>10</v>
      </c>
      <c r="AS6" s="745">
        <f t="shared" si="3"/>
        <v>43</v>
      </c>
      <c r="AT6" s="738"/>
    </row>
    <row r="7" spans="1:50" ht="16.95" customHeight="1" thickBot="1">
      <c r="A7" s="738"/>
      <c r="B7" s="738"/>
      <c r="C7" s="738"/>
      <c r="D7" s="738"/>
      <c r="E7" s="738"/>
      <c r="F7" s="745">
        <f t="shared" si="2"/>
        <v>42</v>
      </c>
      <c r="G7" s="745">
        <v>10</v>
      </c>
      <c r="H7" s="743">
        <f t="shared" si="0"/>
        <v>515</v>
      </c>
      <c r="I7" s="738"/>
      <c r="J7" s="760" t="s">
        <v>264</v>
      </c>
      <c r="K7" s="760"/>
      <c r="L7" s="760"/>
      <c r="M7" s="760"/>
      <c r="N7" s="760"/>
      <c r="O7" s="760"/>
      <c r="P7" s="760"/>
      <c r="Q7" s="789"/>
      <c r="R7" s="835"/>
      <c r="S7" s="836"/>
      <c r="T7" s="836"/>
      <c r="U7" s="837"/>
      <c r="V7" s="837"/>
      <c r="W7" s="838"/>
      <c r="X7" s="836"/>
      <c r="Y7" s="837"/>
      <c r="Z7" s="839"/>
      <c r="AA7" s="840" t="s">
        <v>265</v>
      </c>
      <c r="AB7" s="841"/>
      <c r="AC7" s="842"/>
      <c r="AD7" s="842"/>
      <c r="AE7" s="836"/>
      <c r="AF7" s="836"/>
      <c r="AG7" s="843"/>
      <c r="AH7" s="793"/>
      <c r="AI7" s="793"/>
      <c r="AJ7" s="789"/>
      <c r="AK7" s="760"/>
      <c r="AL7" s="760"/>
      <c r="AM7" s="760"/>
      <c r="AN7" s="760"/>
      <c r="AO7" s="789"/>
      <c r="AP7" s="834"/>
      <c r="AQ7" s="743">
        <f t="shared" si="1"/>
        <v>515</v>
      </c>
      <c r="AR7" s="745">
        <v>10</v>
      </c>
      <c r="AS7" s="745">
        <f t="shared" si="3"/>
        <v>42</v>
      </c>
      <c r="AT7" s="738"/>
      <c r="AU7" s="738"/>
      <c r="AV7" s="738"/>
      <c r="AW7" s="738"/>
      <c r="AX7" s="738"/>
    </row>
    <row r="8" spans="1:50" ht="16.95" customHeight="1" thickTop="1">
      <c r="A8" s="738"/>
      <c r="B8" s="738"/>
      <c r="C8" s="738"/>
      <c r="D8" s="738"/>
      <c r="E8" s="738"/>
      <c r="F8" s="745">
        <f t="shared" si="2"/>
        <v>41</v>
      </c>
      <c r="G8" s="745">
        <v>10</v>
      </c>
      <c r="H8" s="743">
        <f t="shared" si="0"/>
        <v>505</v>
      </c>
      <c r="I8" s="738"/>
      <c r="J8" s="760"/>
      <c r="K8" s="760"/>
      <c r="L8" s="760"/>
      <c r="M8" s="760"/>
      <c r="N8" s="760"/>
      <c r="O8" s="760"/>
      <c r="P8" s="760"/>
      <c r="Q8" s="789"/>
      <c r="R8" s="835"/>
      <c r="S8" s="836" t="s">
        <v>266</v>
      </c>
      <c r="T8" s="836"/>
      <c r="U8" s="837"/>
      <c r="V8" s="837"/>
      <c r="W8" s="838"/>
      <c r="X8" s="836"/>
      <c r="Y8" s="837"/>
      <c r="Z8" s="839"/>
      <c r="AA8" s="840"/>
      <c r="AB8" s="841"/>
      <c r="AC8" s="842"/>
      <c r="AD8" s="842"/>
      <c r="AE8" s="836"/>
      <c r="AF8" s="836"/>
      <c r="AG8" s="843"/>
      <c r="AH8" s="793"/>
      <c r="AI8" s="793"/>
      <c r="AJ8" s="789"/>
      <c r="AK8" s="844"/>
      <c r="AL8" s="845"/>
      <c r="AM8" s="845"/>
      <c r="AN8" s="846"/>
      <c r="AO8" s="789"/>
      <c r="AP8" s="834"/>
      <c r="AQ8" s="743">
        <f t="shared" si="1"/>
        <v>505</v>
      </c>
      <c r="AR8" s="745">
        <v>10</v>
      </c>
      <c r="AS8" s="745">
        <f t="shared" si="3"/>
        <v>41</v>
      </c>
      <c r="AT8" s="738"/>
      <c r="AU8" s="738"/>
      <c r="AV8" s="738"/>
      <c r="AW8" s="738"/>
      <c r="AX8" s="738"/>
    </row>
    <row r="9" spans="1:50" ht="16.95" customHeight="1">
      <c r="A9" s="738"/>
      <c r="B9" s="738"/>
      <c r="C9" s="738"/>
      <c r="D9" s="738"/>
      <c r="E9" s="738"/>
      <c r="F9" s="745">
        <f t="shared" si="2"/>
        <v>40</v>
      </c>
      <c r="G9" s="745">
        <v>10</v>
      </c>
      <c r="H9" s="743">
        <f t="shared" si="0"/>
        <v>495</v>
      </c>
      <c r="I9" s="738"/>
      <c r="J9" s="760" t="s">
        <v>267</v>
      </c>
      <c r="K9" s="760"/>
      <c r="L9" s="760"/>
      <c r="M9" s="760"/>
      <c r="N9" s="760"/>
      <c r="O9" s="760"/>
      <c r="P9" s="760"/>
      <c r="Q9" s="789"/>
      <c r="R9" s="835"/>
      <c r="S9" s="836" t="s">
        <v>268</v>
      </c>
      <c r="T9" s="836"/>
      <c r="U9" s="837"/>
      <c r="V9" s="837"/>
      <c r="W9" s="838"/>
      <c r="X9" s="836"/>
      <c r="Y9" s="837"/>
      <c r="Z9" s="839"/>
      <c r="AA9" s="840"/>
      <c r="AB9" s="841"/>
      <c r="AC9" s="842"/>
      <c r="AD9" s="842"/>
      <c r="AE9" s="836"/>
      <c r="AF9" s="836"/>
      <c r="AG9" s="843"/>
      <c r="AH9" s="793"/>
      <c r="AI9" s="793"/>
      <c r="AJ9" s="789"/>
      <c r="AK9" s="789"/>
      <c r="AL9" s="789" t="s">
        <v>269</v>
      </c>
      <c r="AM9" s="789"/>
      <c r="AN9" s="789"/>
      <c r="AO9" s="789"/>
      <c r="AP9" s="834"/>
      <c r="AQ9" s="743">
        <f t="shared" si="1"/>
        <v>495</v>
      </c>
      <c r="AR9" s="745">
        <v>10</v>
      </c>
      <c r="AS9" s="745">
        <f t="shared" si="3"/>
        <v>40</v>
      </c>
      <c r="AT9" s="738"/>
      <c r="AU9" s="738"/>
      <c r="AV9" s="738"/>
      <c r="AW9" s="738"/>
      <c r="AX9" s="738"/>
    </row>
    <row r="10" spans="1:50" ht="16.95" customHeight="1" thickBot="1">
      <c r="A10" s="738"/>
      <c r="B10" s="738"/>
      <c r="C10" s="738"/>
      <c r="D10" s="738"/>
      <c r="E10" s="738"/>
      <c r="F10" s="745">
        <f t="shared" si="2"/>
        <v>39</v>
      </c>
      <c r="G10" s="745">
        <v>10</v>
      </c>
      <c r="H10" s="743">
        <f t="shared" si="0"/>
        <v>485</v>
      </c>
      <c r="I10" s="738"/>
      <c r="J10" s="760" t="s">
        <v>270</v>
      </c>
      <c r="K10" s="760"/>
      <c r="L10" s="760"/>
      <c r="M10" s="760"/>
      <c r="N10" s="760"/>
      <c r="O10" s="760"/>
      <c r="P10" s="760"/>
      <c r="Q10" s="789"/>
      <c r="R10" s="847" t="s">
        <v>271</v>
      </c>
      <c r="S10" s="848"/>
      <c r="T10" s="848"/>
      <c r="U10" s="849"/>
      <c r="V10" s="849"/>
      <c r="W10" s="850"/>
      <c r="X10" s="851"/>
      <c r="Y10" s="851"/>
      <c r="Z10" s="848"/>
      <c r="AA10" s="848"/>
      <c r="AB10" s="848" t="s">
        <v>272</v>
      </c>
      <c r="AC10" s="851"/>
      <c r="AD10" s="848"/>
      <c r="AE10" s="848"/>
      <c r="AF10" s="852"/>
      <c r="AG10" s="853"/>
      <c r="AH10" s="793"/>
      <c r="AI10" s="793"/>
      <c r="AJ10" s="789"/>
      <c r="AK10" s="789"/>
      <c r="AL10" s="789"/>
      <c r="AM10" s="789"/>
      <c r="AN10" s="789"/>
      <c r="AO10" s="789"/>
      <c r="AP10" s="834"/>
      <c r="AQ10" s="743">
        <f t="shared" si="1"/>
        <v>485</v>
      </c>
      <c r="AR10" s="745">
        <v>10</v>
      </c>
      <c r="AS10" s="745">
        <f t="shared" si="3"/>
        <v>39</v>
      </c>
      <c r="AT10" s="738"/>
      <c r="AU10" s="738"/>
      <c r="AV10" s="738"/>
      <c r="AW10" s="738"/>
      <c r="AX10" s="738"/>
    </row>
    <row r="11" spans="1:50" ht="16.95" customHeight="1">
      <c r="A11" s="738"/>
      <c r="B11" s="738"/>
      <c r="C11" s="738"/>
      <c r="D11" s="738"/>
      <c r="E11" s="738"/>
      <c r="F11" s="745">
        <f t="shared" si="2"/>
        <v>38</v>
      </c>
      <c r="G11" s="745">
        <v>10</v>
      </c>
      <c r="H11" s="743">
        <f t="shared" si="0"/>
        <v>475</v>
      </c>
      <c r="I11" s="738"/>
      <c r="J11" s="760" t="s">
        <v>273</v>
      </c>
      <c r="K11" s="760"/>
      <c r="L11" s="760"/>
      <c r="M11" s="760"/>
      <c r="N11" s="760"/>
      <c r="O11" s="760"/>
      <c r="P11" s="760"/>
      <c r="Q11" s="789"/>
      <c r="R11" s="854"/>
      <c r="S11" s="855"/>
      <c r="T11" s="855"/>
      <c r="U11" s="856"/>
      <c r="V11" s="856"/>
      <c r="W11" s="857"/>
      <c r="X11" s="855"/>
      <c r="Y11" s="856"/>
      <c r="Z11" s="858"/>
      <c r="AA11" s="859"/>
      <c r="AB11" s="860"/>
      <c r="AC11" s="861"/>
      <c r="AD11" s="861"/>
      <c r="AE11" s="855"/>
      <c r="AF11" s="855"/>
      <c r="AG11" s="862"/>
      <c r="AH11" s="793"/>
      <c r="AI11" s="793"/>
      <c r="AJ11" s="789"/>
      <c r="AK11" s="789"/>
      <c r="AL11" s="789"/>
      <c r="AM11" s="789"/>
      <c r="AN11" s="789"/>
      <c r="AO11" s="789"/>
      <c r="AP11" s="834"/>
      <c r="AQ11" s="743">
        <f t="shared" si="1"/>
        <v>475</v>
      </c>
      <c r="AR11" s="745">
        <v>10</v>
      </c>
      <c r="AS11" s="745">
        <f t="shared" si="3"/>
        <v>38</v>
      </c>
      <c r="AT11" s="738"/>
      <c r="AU11" s="738"/>
      <c r="AV11" s="738"/>
      <c r="AW11" s="738"/>
      <c r="AX11" s="738"/>
    </row>
    <row r="12" spans="1:50" ht="16.95" customHeight="1">
      <c r="A12" s="738"/>
      <c r="B12" s="738"/>
      <c r="C12" s="738"/>
      <c r="D12" s="738"/>
      <c r="E12" s="738"/>
      <c r="F12" s="745">
        <f t="shared" si="2"/>
        <v>37</v>
      </c>
      <c r="G12" s="745">
        <v>10</v>
      </c>
      <c r="H12" s="743">
        <f t="shared" si="0"/>
        <v>465</v>
      </c>
      <c r="I12" s="738"/>
      <c r="J12" s="760" t="s">
        <v>274</v>
      </c>
      <c r="K12" s="760"/>
      <c r="L12" s="760"/>
      <c r="M12" s="760"/>
      <c r="N12" s="760"/>
      <c r="O12" s="760"/>
      <c r="P12" s="760"/>
      <c r="Q12" s="789"/>
      <c r="R12" s="863"/>
      <c r="S12" s="864"/>
      <c r="T12" s="864"/>
      <c r="U12" s="865"/>
      <c r="V12" s="865"/>
      <c r="W12" s="866"/>
      <c r="X12" s="864"/>
      <c r="Y12" s="865"/>
      <c r="Z12" s="867"/>
      <c r="AA12" s="868"/>
      <c r="AB12" s="869"/>
      <c r="AC12" s="870"/>
      <c r="AD12" s="870"/>
      <c r="AE12" s="864"/>
      <c r="AF12" s="864"/>
      <c r="AG12" s="871"/>
      <c r="AH12" s="793"/>
      <c r="AI12" s="793"/>
      <c r="AJ12" s="872" t="s">
        <v>345</v>
      </c>
      <c r="AK12" s="789"/>
      <c r="AL12" s="789"/>
      <c r="AM12" s="789"/>
      <c r="AN12" s="789"/>
      <c r="AO12" s="789"/>
      <c r="AP12" s="834"/>
      <c r="AQ12" s="743">
        <f t="shared" si="1"/>
        <v>465</v>
      </c>
      <c r="AR12" s="745">
        <v>10</v>
      </c>
      <c r="AS12" s="745">
        <f t="shared" si="3"/>
        <v>37</v>
      </c>
      <c r="AT12" s="738"/>
      <c r="AU12" s="738"/>
      <c r="AV12" s="738"/>
      <c r="AW12" s="738"/>
      <c r="AX12" s="738"/>
    </row>
    <row r="13" spans="1:50" ht="16.95" customHeight="1">
      <c r="A13" s="738"/>
      <c r="B13" s="738"/>
      <c r="C13" s="738"/>
      <c r="D13" s="738"/>
      <c r="E13" s="738"/>
      <c r="F13" s="745">
        <f t="shared" si="2"/>
        <v>36</v>
      </c>
      <c r="G13" s="745">
        <v>10</v>
      </c>
      <c r="H13" s="743">
        <f t="shared" si="0"/>
        <v>455</v>
      </c>
      <c r="I13" s="738"/>
      <c r="J13" s="760"/>
      <c r="K13" s="760"/>
      <c r="L13" s="760"/>
      <c r="M13" s="760"/>
      <c r="N13" s="760"/>
      <c r="O13" s="760"/>
      <c r="P13" s="760"/>
      <c r="Q13" s="789"/>
      <c r="R13" s="863"/>
      <c r="S13" s="864"/>
      <c r="T13" s="864"/>
      <c r="U13" s="865"/>
      <c r="V13" s="865"/>
      <c r="W13" s="866"/>
      <c r="X13" s="864"/>
      <c r="Y13" s="865"/>
      <c r="Z13" s="867"/>
      <c r="AA13" s="868"/>
      <c r="AB13" s="869"/>
      <c r="AC13" s="870"/>
      <c r="AD13" s="870"/>
      <c r="AE13" s="864"/>
      <c r="AF13" s="864"/>
      <c r="AG13" s="871"/>
      <c r="AH13" s="793"/>
      <c r="AI13" s="793"/>
      <c r="AJ13" s="872" t="s">
        <v>346</v>
      </c>
      <c r="AK13" s="789"/>
      <c r="AL13" s="789"/>
      <c r="AM13" s="789"/>
      <c r="AN13" s="789"/>
      <c r="AO13" s="789"/>
      <c r="AP13" s="834"/>
      <c r="AQ13" s="743">
        <f t="shared" si="1"/>
        <v>455</v>
      </c>
      <c r="AR13" s="745">
        <v>10</v>
      </c>
      <c r="AS13" s="745">
        <f t="shared" si="3"/>
        <v>36</v>
      </c>
      <c r="AT13" s="738"/>
      <c r="AU13" s="738"/>
      <c r="AV13" s="738"/>
      <c r="AW13" s="738"/>
      <c r="AX13" s="738"/>
    </row>
    <row r="14" spans="1:50" ht="16.95" customHeight="1">
      <c r="A14" s="738"/>
      <c r="B14" s="738"/>
      <c r="C14" s="738"/>
      <c r="D14" s="738"/>
      <c r="E14" s="738"/>
      <c r="F14" s="745">
        <f t="shared" si="2"/>
        <v>35</v>
      </c>
      <c r="G14" s="745">
        <v>10</v>
      </c>
      <c r="H14" s="743">
        <f t="shared" si="0"/>
        <v>445</v>
      </c>
      <c r="I14" s="738"/>
      <c r="J14" s="760"/>
      <c r="K14" s="760"/>
      <c r="L14" s="760"/>
      <c r="M14" s="760"/>
      <c r="N14" s="760"/>
      <c r="O14" s="760"/>
      <c r="P14" s="760"/>
      <c r="Q14" s="789"/>
      <c r="R14" s="863"/>
      <c r="S14" s="864"/>
      <c r="T14" s="864"/>
      <c r="U14" s="865"/>
      <c r="V14" s="865"/>
      <c r="W14" s="866"/>
      <c r="X14" s="864"/>
      <c r="Y14" s="865"/>
      <c r="Z14" s="867"/>
      <c r="AA14" s="868"/>
      <c r="AB14" s="869"/>
      <c r="AC14" s="870"/>
      <c r="AD14" s="870"/>
      <c r="AE14" s="864"/>
      <c r="AF14" s="864"/>
      <c r="AG14" s="871"/>
      <c r="AH14" s="793"/>
      <c r="AI14" s="793"/>
      <c r="AJ14" s="789"/>
      <c r="AK14" s="789"/>
      <c r="AL14" s="789"/>
      <c r="AM14" s="789"/>
      <c r="AN14" s="789"/>
      <c r="AO14" s="789"/>
      <c r="AP14" s="834"/>
      <c r="AQ14" s="743">
        <f t="shared" si="1"/>
        <v>445</v>
      </c>
      <c r="AR14" s="745">
        <v>10</v>
      </c>
      <c r="AS14" s="745">
        <f t="shared" si="3"/>
        <v>35</v>
      </c>
      <c r="AT14" s="738"/>
      <c r="AU14" s="738"/>
      <c r="AV14" s="738"/>
      <c r="AW14" s="738"/>
      <c r="AX14" s="738"/>
    </row>
    <row r="15" spans="1:50" ht="16.95" customHeight="1">
      <c r="A15" s="738"/>
      <c r="B15" s="738"/>
      <c r="C15" s="738"/>
      <c r="D15" s="738"/>
      <c r="E15" s="738"/>
      <c r="F15" s="745">
        <f t="shared" si="2"/>
        <v>34</v>
      </c>
      <c r="G15" s="745">
        <v>10</v>
      </c>
      <c r="H15" s="743">
        <f t="shared" si="0"/>
        <v>435</v>
      </c>
      <c r="I15" s="738"/>
      <c r="J15" s="760"/>
      <c r="K15" s="760"/>
      <c r="L15" s="760"/>
      <c r="M15" s="760"/>
      <c r="N15" s="760"/>
      <c r="O15" s="760"/>
      <c r="P15" s="760"/>
      <c r="Q15" s="789"/>
      <c r="R15" s="863"/>
      <c r="S15" s="864"/>
      <c r="T15" s="864"/>
      <c r="U15" s="865"/>
      <c r="V15" s="865"/>
      <c r="W15" s="866"/>
      <c r="X15" s="864"/>
      <c r="Y15" s="865"/>
      <c r="Z15" s="867"/>
      <c r="AA15" s="868"/>
      <c r="AB15" s="869"/>
      <c r="AC15" s="870"/>
      <c r="AD15" s="870"/>
      <c r="AE15" s="864"/>
      <c r="AF15" s="864"/>
      <c r="AG15" s="871"/>
      <c r="AH15" s="793"/>
      <c r="AI15" s="793"/>
      <c r="AJ15" s="789"/>
      <c r="AK15" s="789"/>
      <c r="AL15" s="789"/>
      <c r="AM15" s="789"/>
      <c r="AN15" s="789"/>
      <c r="AO15" s="789"/>
      <c r="AP15" s="834"/>
      <c r="AQ15" s="743">
        <f t="shared" si="1"/>
        <v>435</v>
      </c>
      <c r="AR15" s="745">
        <v>10</v>
      </c>
      <c r="AS15" s="745">
        <f t="shared" si="3"/>
        <v>34</v>
      </c>
      <c r="AT15" s="738"/>
      <c r="AU15" s="738"/>
      <c r="AV15" s="738"/>
      <c r="AW15" s="738"/>
      <c r="AX15" s="738"/>
    </row>
    <row r="16" spans="1:50" ht="16.95" customHeight="1">
      <c r="A16" s="738"/>
      <c r="B16" s="738"/>
      <c r="C16" s="738"/>
      <c r="D16" s="738"/>
      <c r="E16" s="738"/>
      <c r="F16" s="745">
        <f t="shared" si="2"/>
        <v>33</v>
      </c>
      <c r="G16" s="745">
        <v>10</v>
      </c>
      <c r="H16" s="743">
        <f t="shared" si="0"/>
        <v>425</v>
      </c>
      <c r="I16" s="738"/>
      <c r="J16" s="760"/>
      <c r="K16" s="760"/>
      <c r="L16" s="760"/>
      <c r="M16" s="760"/>
      <c r="N16" s="760"/>
      <c r="O16" s="760"/>
      <c r="P16" s="760"/>
      <c r="Q16" s="789"/>
      <c r="R16" s="863"/>
      <c r="S16" s="864"/>
      <c r="T16" s="864"/>
      <c r="U16" s="865"/>
      <c r="V16" s="865"/>
      <c r="W16" s="866"/>
      <c r="X16" s="864"/>
      <c r="Y16" s="865"/>
      <c r="Z16" s="867"/>
      <c r="AA16" s="868"/>
      <c r="AB16" s="869"/>
      <c r="AC16" s="870"/>
      <c r="AD16" s="870"/>
      <c r="AE16" s="864"/>
      <c r="AF16" s="864"/>
      <c r="AG16" s="871"/>
      <c r="AH16" s="793"/>
      <c r="AI16" s="793"/>
      <c r="AJ16" s="789"/>
      <c r="AK16" s="789"/>
      <c r="AL16" s="789"/>
      <c r="AM16" s="789"/>
      <c r="AN16" s="789"/>
      <c r="AO16" s="789"/>
      <c r="AP16" s="834"/>
      <c r="AQ16" s="743">
        <f t="shared" si="1"/>
        <v>425</v>
      </c>
      <c r="AR16" s="745">
        <v>10</v>
      </c>
      <c r="AS16" s="745">
        <f t="shared" si="3"/>
        <v>33</v>
      </c>
      <c r="AT16" s="738"/>
      <c r="AU16" s="738"/>
      <c r="AV16" s="738"/>
      <c r="AW16" s="738"/>
      <c r="AX16" s="738"/>
    </row>
    <row r="17" spans="1:50" ht="16.95" customHeight="1">
      <c r="A17" s="738"/>
      <c r="B17" s="738"/>
      <c r="C17" s="738"/>
      <c r="D17" s="738"/>
      <c r="E17" s="738"/>
      <c r="F17" s="745">
        <f t="shared" si="2"/>
        <v>32</v>
      </c>
      <c r="G17" s="745">
        <v>10</v>
      </c>
      <c r="H17" s="743">
        <f t="shared" si="0"/>
        <v>415</v>
      </c>
      <c r="I17" s="738"/>
      <c r="J17" s="760"/>
      <c r="K17" s="760"/>
      <c r="L17" s="760"/>
      <c r="M17" s="760"/>
      <c r="N17" s="760"/>
      <c r="O17" s="760"/>
      <c r="P17" s="760"/>
      <c r="Q17" s="789"/>
      <c r="R17" s="863"/>
      <c r="S17" s="864"/>
      <c r="T17" s="864"/>
      <c r="U17" s="865"/>
      <c r="V17" s="865"/>
      <c r="W17" s="866"/>
      <c r="X17" s="864"/>
      <c r="Y17" s="865"/>
      <c r="Z17" s="867"/>
      <c r="AA17" s="868"/>
      <c r="AB17" s="869"/>
      <c r="AC17" s="870"/>
      <c r="AD17" s="870"/>
      <c r="AE17" s="864"/>
      <c r="AF17" s="864"/>
      <c r="AG17" s="871"/>
      <c r="AH17" s="793"/>
      <c r="AI17" s="793"/>
      <c r="AJ17" s="789"/>
      <c r="AK17" s="789"/>
      <c r="AL17" s="789"/>
      <c r="AM17" s="789"/>
      <c r="AN17" s="789"/>
      <c r="AO17" s="789"/>
      <c r="AP17" s="834"/>
      <c r="AQ17" s="743">
        <f t="shared" si="1"/>
        <v>415</v>
      </c>
      <c r="AR17" s="745">
        <v>10</v>
      </c>
      <c r="AS17" s="745">
        <f t="shared" si="3"/>
        <v>32</v>
      </c>
      <c r="AT17" s="738"/>
      <c r="AU17" s="738"/>
      <c r="AV17" s="738"/>
      <c r="AW17" s="738"/>
      <c r="AX17" s="738"/>
    </row>
    <row r="18" spans="1:50" ht="16.95" customHeight="1">
      <c r="A18" s="738"/>
      <c r="B18" s="738"/>
      <c r="C18" s="738"/>
      <c r="D18" s="738"/>
      <c r="E18" s="738"/>
      <c r="F18" s="745">
        <f t="shared" si="2"/>
        <v>31</v>
      </c>
      <c r="G18" s="745">
        <v>10</v>
      </c>
      <c r="H18" s="743">
        <f t="shared" si="0"/>
        <v>405</v>
      </c>
      <c r="I18" s="738"/>
      <c r="J18" s="760"/>
      <c r="K18" s="760"/>
      <c r="L18" s="760"/>
      <c r="M18" s="760"/>
      <c r="N18" s="760"/>
      <c r="O18" s="760"/>
      <c r="P18" s="760"/>
      <c r="Q18" s="789"/>
      <c r="R18" s="863"/>
      <c r="S18" s="864"/>
      <c r="T18" s="864"/>
      <c r="U18" s="865"/>
      <c r="V18" s="865"/>
      <c r="W18" s="866"/>
      <c r="X18" s="864"/>
      <c r="Y18" s="865"/>
      <c r="Z18" s="867"/>
      <c r="AA18" s="868"/>
      <c r="AB18" s="869"/>
      <c r="AC18" s="870"/>
      <c r="AD18" s="870"/>
      <c r="AE18" s="864"/>
      <c r="AF18" s="864"/>
      <c r="AG18" s="871"/>
      <c r="AH18" s="793"/>
      <c r="AI18" s="793"/>
      <c r="AJ18" s="789"/>
      <c r="AK18" s="789"/>
      <c r="AL18" s="789"/>
      <c r="AM18" s="789"/>
      <c r="AN18" s="789"/>
      <c r="AO18" s="789"/>
      <c r="AP18" s="834"/>
      <c r="AQ18" s="743">
        <f t="shared" si="1"/>
        <v>405</v>
      </c>
      <c r="AR18" s="745">
        <v>10</v>
      </c>
      <c r="AS18" s="745">
        <f t="shared" si="3"/>
        <v>31</v>
      </c>
      <c r="AT18" s="738"/>
      <c r="AU18" s="738"/>
      <c r="AV18" s="738"/>
      <c r="AW18" s="738"/>
      <c r="AX18" s="738"/>
    </row>
    <row r="19" spans="1:50" ht="16.95" customHeight="1">
      <c r="A19" s="738"/>
      <c r="B19" s="738"/>
      <c r="C19" s="738"/>
      <c r="D19" s="738"/>
      <c r="E19" s="738"/>
      <c r="F19" s="745">
        <f t="shared" si="2"/>
        <v>30</v>
      </c>
      <c r="G19" s="745">
        <v>10</v>
      </c>
      <c r="H19" s="743">
        <f t="shared" si="0"/>
        <v>395</v>
      </c>
      <c r="I19" s="738"/>
      <c r="J19" s="760"/>
      <c r="K19" s="760"/>
      <c r="L19" s="760"/>
      <c r="M19" s="760"/>
      <c r="N19" s="760"/>
      <c r="O19" s="760"/>
      <c r="P19" s="760"/>
      <c r="Q19" s="789"/>
      <c r="R19" s="873"/>
      <c r="S19" s="864" t="s">
        <v>275</v>
      </c>
      <c r="T19" s="864"/>
      <c r="U19" s="865"/>
      <c r="V19" s="865"/>
      <c r="W19" s="866"/>
      <c r="X19" s="864"/>
      <c r="Y19" s="865"/>
      <c r="Z19" s="867"/>
      <c r="AA19" s="868"/>
      <c r="AB19" s="869"/>
      <c r="AC19" s="870"/>
      <c r="AD19" s="870"/>
      <c r="AE19" s="864"/>
      <c r="AF19" s="864"/>
      <c r="AG19" s="871"/>
      <c r="AH19" s="793"/>
      <c r="AI19" s="793"/>
      <c r="AJ19" s="789"/>
      <c r="AK19" s="789"/>
      <c r="AL19" s="789"/>
      <c r="AM19" s="789"/>
      <c r="AN19" s="789"/>
      <c r="AO19" s="789"/>
      <c r="AP19" s="834"/>
      <c r="AQ19" s="743">
        <f t="shared" si="1"/>
        <v>395</v>
      </c>
      <c r="AR19" s="745">
        <v>10</v>
      </c>
      <c r="AS19" s="745">
        <f t="shared" si="3"/>
        <v>30</v>
      </c>
      <c r="AT19" s="738"/>
      <c r="AU19" s="738"/>
      <c r="AV19" s="738"/>
      <c r="AW19" s="738"/>
      <c r="AX19" s="738"/>
    </row>
    <row r="20" spans="1:50" ht="16.95" customHeight="1" thickBot="1">
      <c r="A20" s="738"/>
      <c r="B20" s="738"/>
      <c r="C20" s="738"/>
      <c r="D20" s="738"/>
      <c r="E20" s="738"/>
      <c r="F20" s="745">
        <f t="shared" si="2"/>
        <v>29</v>
      </c>
      <c r="G20" s="745">
        <v>10</v>
      </c>
      <c r="H20" s="743">
        <f t="shared" si="0"/>
        <v>385</v>
      </c>
      <c r="I20" s="738"/>
      <c r="J20" s="760"/>
      <c r="K20" s="760"/>
      <c r="L20" s="760"/>
      <c r="M20" s="760"/>
      <c r="N20" s="760"/>
      <c r="O20" s="760"/>
      <c r="P20" s="760"/>
      <c r="Q20" s="789"/>
      <c r="R20" s="874" t="s">
        <v>276</v>
      </c>
      <c r="S20" s="875"/>
      <c r="T20" s="875"/>
      <c r="U20" s="876"/>
      <c r="V20" s="876"/>
      <c r="W20" s="877"/>
      <c r="X20" s="878"/>
      <c r="Y20" s="878"/>
      <c r="Z20" s="875" t="s">
        <v>277</v>
      </c>
      <c r="AA20" s="876"/>
      <c r="AB20" s="879"/>
      <c r="AC20" s="878"/>
      <c r="AD20" s="875" t="s">
        <v>278</v>
      </c>
      <c r="AE20" s="875"/>
      <c r="AF20" s="875"/>
      <c r="AG20" s="880"/>
      <c r="AH20" s="794"/>
      <c r="AI20" s="794"/>
      <c r="AJ20" s="881"/>
      <c r="AK20" s="789"/>
      <c r="AL20" s="789"/>
      <c r="AM20" s="789"/>
      <c r="AN20" s="789"/>
      <c r="AO20" s="789"/>
      <c r="AP20" s="834"/>
      <c r="AQ20" s="743">
        <f t="shared" si="1"/>
        <v>385</v>
      </c>
      <c r="AR20" s="745">
        <v>10</v>
      </c>
      <c r="AS20" s="745">
        <f t="shared" si="3"/>
        <v>29</v>
      </c>
      <c r="AT20" s="738"/>
      <c r="AU20" s="738"/>
      <c r="AV20" s="738"/>
      <c r="AW20" s="738"/>
      <c r="AX20" s="738"/>
    </row>
    <row r="21" spans="1:50" ht="16.95" customHeight="1" thickTop="1">
      <c r="A21" s="738"/>
      <c r="B21" s="749"/>
      <c r="C21" s="750"/>
      <c r="D21" s="751"/>
      <c r="E21" s="738"/>
      <c r="F21" s="745">
        <f t="shared" si="2"/>
        <v>28</v>
      </c>
      <c r="G21" s="745">
        <v>15</v>
      </c>
      <c r="H21" s="743">
        <f t="shared" si="0"/>
        <v>370</v>
      </c>
      <c r="I21" s="752"/>
      <c r="J21" s="795"/>
      <c r="K21" s="795"/>
      <c r="L21" s="795"/>
      <c r="M21" s="795"/>
      <c r="N21" s="795"/>
      <c r="O21" s="882"/>
      <c r="P21" s="884" t="s">
        <v>279</v>
      </c>
      <c r="Q21" s="884"/>
      <c r="R21" s="885"/>
      <c r="S21" s="885"/>
      <c r="T21" s="885"/>
      <c r="U21" s="886"/>
      <c r="V21" s="887"/>
      <c r="W21" s="885" t="s">
        <v>280</v>
      </c>
      <c r="X21" s="885"/>
      <c r="Y21" s="888"/>
      <c r="Z21" s="889"/>
      <c r="AA21" s="885"/>
      <c r="AB21" s="885" t="s">
        <v>281</v>
      </c>
      <c r="AC21" s="886"/>
      <c r="AD21" s="890"/>
      <c r="AE21" s="885"/>
      <c r="AF21" s="885" t="s">
        <v>282</v>
      </c>
      <c r="AG21" s="885"/>
      <c r="AH21" s="883"/>
      <c r="AI21" s="883"/>
      <c r="AJ21" s="891"/>
      <c r="AK21" s="795"/>
      <c r="AL21" s="795"/>
      <c r="AM21" s="795"/>
      <c r="AN21" s="795"/>
      <c r="AO21" s="795"/>
      <c r="AP21" s="810"/>
      <c r="AQ21" s="743">
        <f t="shared" si="1"/>
        <v>370</v>
      </c>
      <c r="AR21" s="745">
        <v>15</v>
      </c>
      <c r="AS21" s="745">
        <f t="shared" si="3"/>
        <v>28</v>
      </c>
      <c r="AT21" s="738"/>
      <c r="AU21" s="753"/>
      <c r="AV21" s="750"/>
      <c r="AW21" s="749"/>
      <c r="AX21" s="738"/>
    </row>
    <row r="22" spans="1:50" ht="16.95" customHeight="1">
      <c r="A22" s="738"/>
      <c r="B22" s="754"/>
      <c r="C22" s="755"/>
      <c r="D22" s="756"/>
      <c r="E22" s="738"/>
      <c r="F22" s="745">
        <f t="shared" si="2"/>
        <v>27</v>
      </c>
      <c r="G22" s="745">
        <v>15</v>
      </c>
      <c r="H22" s="743">
        <f t="shared" si="0"/>
        <v>355</v>
      </c>
      <c r="I22" s="738"/>
      <c r="J22" s="760"/>
      <c r="K22" s="760"/>
      <c r="L22" s="760"/>
      <c r="M22" s="760"/>
      <c r="N22" s="760"/>
      <c r="O22" s="892"/>
      <c r="P22" s="894" t="s">
        <v>283</v>
      </c>
      <c r="Q22" s="894"/>
      <c r="R22" s="893"/>
      <c r="S22" s="893"/>
      <c r="T22" s="893"/>
      <c r="U22" s="895"/>
      <c r="V22" s="896"/>
      <c r="W22" s="893" t="s">
        <v>284</v>
      </c>
      <c r="X22" s="893"/>
      <c r="Y22" s="897"/>
      <c r="Z22" s="898"/>
      <c r="AA22" s="893"/>
      <c r="AB22" s="893" t="s">
        <v>285</v>
      </c>
      <c r="AC22" s="895"/>
      <c r="AD22" s="899"/>
      <c r="AE22" s="893"/>
      <c r="AF22" s="893" t="s">
        <v>286</v>
      </c>
      <c r="AG22" s="893"/>
      <c r="AH22" s="893"/>
      <c r="AI22" s="893"/>
      <c r="AJ22" s="900"/>
      <c r="AK22" s="789"/>
      <c r="AL22" s="789"/>
      <c r="AM22" s="789"/>
      <c r="AN22" s="789"/>
      <c r="AO22" s="789"/>
      <c r="AP22" s="834"/>
      <c r="AQ22" s="743">
        <f t="shared" si="1"/>
        <v>355</v>
      </c>
      <c r="AR22" s="745">
        <v>15</v>
      </c>
      <c r="AS22" s="745">
        <f t="shared" si="3"/>
        <v>27</v>
      </c>
      <c r="AT22" s="738"/>
      <c r="AU22" s="757"/>
      <c r="AV22" s="755"/>
      <c r="AW22" s="754"/>
      <c r="AX22" s="738"/>
    </row>
    <row r="23" spans="1:50" ht="16.95" customHeight="1">
      <c r="A23" s="738"/>
      <c r="B23" s="754"/>
      <c r="C23" s="755"/>
      <c r="D23" s="756"/>
      <c r="E23" s="738"/>
      <c r="F23" s="745">
        <f t="shared" si="2"/>
        <v>26</v>
      </c>
      <c r="G23" s="745">
        <v>15</v>
      </c>
      <c r="H23" s="743">
        <f t="shared" si="0"/>
        <v>340</v>
      </c>
      <c r="I23" s="738"/>
      <c r="J23" s="760"/>
      <c r="K23" s="760"/>
      <c r="L23" s="760"/>
      <c r="M23" s="760"/>
      <c r="N23" s="760"/>
      <c r="O23" s="892"/>
      <c r="P23" s="894" t="s">
        <v>347</v>
      </c>
      <c r="Q23" s="894"/>
      <c r="R23" s="893"/>
      <c r="S23" s="893"/>
      <c r="T23" s="893"/>
      <c r="U23" s="895"/>
      <c r="V23" s="896"/>
      <c r="W23" s="893" t="s">
        <v>287</v>
      </c>
      <c r="X23" s="893"/>
      <c r="Y23" s="897"/>
      <c r="Z23" s="898"/>
      <c r="AA23" s="893"/>
      <c r="AB23" s="893" t="s">
        <v>288</v>
      </c>
      <c r="AC23" s="895"/>
      <c r="AD23" s="899"/>
      <c r="AE23" s="893"/>
      <c r="AF23" s="893"/>
      <c r="AG23" s="893"/>
      <c r="AH23" s="893"/>
      <c r="AI23" s="893"/>
      <c r="AJ23" s="900"/>
      <c r="AK23" s="789"/>
      <c r="AL23" s="789"/>
      <c r="AM23" s="789"/>
      <c r="AN23" s="789"/>
      <c r="AO23" s="789"/>
      <c r="AP23" s="834"/>
      <c r="AQ23" s="743">
        <f t="shared" si="1"/>
        <v>340</v>
      </c>
      <c r="AR23" s="745">
        <v>15</v>
      </c>
      <c r="AS23" s="745">
        <f t="shared" si="3"/>
        <v>26</v>
      </c>
      <c r="AT23" s="738"/>
      <c r="AU23" s="757"/>
      <c r="AV23" s="755"/>
      <c r="AW23" s="754"/>
      <c r="AX23" s="738"/>
    </row>
    <row r="24" spans="1:50" ht="16.95" customHeight="1">
      <c r="A24" s="738"/>
      <c r="B24" s="754"/>
      <c r="C24" s="755"/>
      <c r="D24" s="756"/>
      <c r="E24" s="738"/>
      <c r="F24" s="745">
        <f>F25 + 1</f>
        <v>25</v>
      </c>
      <c r="G24" s="745">
        <v>15</v>
      </c>
      <c r="H24" s="743">
        <f>H25 + G25</f>
        <v>325</v>
      </c>
      <c r="I24" s="738"/>
      <c r="J24" s="760"/>
      <c r="K24" s="760"/>
      <c r="L24" s="760"/>
      <c r="M24" s="760"/>
      <c r="N24" s="760"/>
      <c r="O24" s="901" t="s">
        <v>289</v>
      </c>
      <c r="P24" s="902"/>
      <c r="Q24" s="902"/>
      <c r="R24" s="903"/>
      <c r="S24" s="904"/>
      <c r="T24" s="905"/>
      <c r="U24" s="905"/>
      <c r="V24" s="904" t="s">
        <v>290</v>
      </c>
      <c r="W24" s="906"/>
      <c r="X24" s="907"/>
      <c r="Y24" s="905"/>
      <c r="Z24" s="904" t="s">
        <v>291</v>
      </c>
      <c r="AA24" s="904"/>
      <c r="AB24" s="904"/>
      <c r="AC24" s="906"/>
      <c r="AD24" s="908"/>
      <c r="AE24" s="904"/>
      <c r="AF24" s="904"/>
      <c r="AG24" s="904"/>
      <c r="AH24" s="904"/>
      <c r="AI24" s="904"/>
      <c r="AJ24" s="909"/>
      <c r="AK24" s="789"/>
      <c r="AL24" s="789"/>
      <c r="AM24" s="789"/>
      <c r="AN24" s="789"/>
      <c r="AO24" s="910"/>
      <c r="AP24" s="911"/>
      <c r="AQ24" s="743">
        <f>AQ25 + G25</f>
        <v>325</v>
      </c>
      <c r="AR24" s="745">
        <v>15</v>
      </c>
      <c r="AS24" s="745">
        <f>AS25 + 1</f>
        <v>25</v>
      </c>
      <c r="AT24" s="738"/>
      <c r="AU24" s="757"/>
      <c r="AV24" s="755"/>
      <c r="AW24" s="754"/>
      <c r="AX24" s="744"/>
    </row>
    <row r="25" spans="1:50" ht="16.95" customHeight="1" thickBot="1">
      <c r="A25" s="738"/>
      <c r="B25" s="754"/>
      <c r="C25" s="755"/>
      <c r="D25" s="756"/>
      <c r="E25" s="738"/>
      <c r="F25" s="745">
        <f t="shared" si="2"/>
        <v>24</v>
      </c>
      <c r="G25" s="745">
        <v>20</v>
      </c>
      <c r="H25" s="743">
        <f t="shared" si="0"/>
        <v>305</v>
      </c>
      <c r="I25" s="758"/>
      <c r="J25" s="811"/>
      <c r="K25" s="811"/>
      <c r="L25" s="811"/>
      <c r="M25" s="811"/>
      <c r="N25" s="811"/>
      <c r="O25" s="912" t="s">
        <v>292</v>
      </c>
      <c r="P25" s="913"/>
      <c r="Q25" s="913"/>
      <c r="R25" s="914"/>
      <c r="S25" s="913" t="s">
        <v>258</v>
      </c>
      <c r="T25" s="913"/>
      <c r="U25" s="915"/>
      <c r="V25" s="916" t="s">
        <v>293</v>
      </c>
      <c r="W25" s="913"/>
      <c r="X25" s="913"/>
      <c r="Y25" s="915"/>
      <c r="Z25" s="917"/>
      <c r="AA25" s="918"/>
      <c r="AB25" s="913"/>
      <c r="AC25" s="919"/>
      <c r="AD25" s="920"/>
      <c r="AE25" s="913"/>
      <c r="AF25" s="913"/>
      <c r="AG25" s="913"/>
      <c r="AH25" s="913"/>
      <c r="AI25" s="913"/>
      <c r="AJ25" s="921"/>
      <c r="AK25" s="823"/>
      <c r="AL25" s="823"/>
      <c r="AM25" s="811"/>
      <c r="AN25" s="811"/>
      <c r="AO25" s="910"/>
      <c r="AP25" s="911"/>
      <c r="AQ25" s="743">
        <f t="shared" si="1"/>
        <v>305</v>
      </c>
      <c r="AR25" s="745">
        <v>20</v>
      </c>
      <c r="AS25" s="745">
        <f t="shared" si="3"/>
        <v>24</v>
      </c>
      <c r="AT25" s="738"/>
      <c r="AU25" s="757"/>
      <c r="AV25" s="755"/>
      <c r="AW25" s="754"/>
      <c r="AX25" s="744"/>
    </row>
    <row r="26" spans="1:50" ht="16.95" customHeight="1" thickTop="1">
      <c r="A26" s="738"/>
      <c r="B26" s="754"/>
      <c r="C26" s="1820" t="s">
        <v>294</v>
      </c>
      <c r="D26" s="1821"/>
      <c r="E26" s="738"/>
      <c r="F26" s="745">
        <f t="shared" si="2"/>
        <v>23</v>
      </c>
      <c r="G26" s="745">
        <v>13</v>
      </c>
      <c r="H26" s="743">
        <f t="shared" si="0"/>
        <v>292</v>
      </c>
      <c r="I26" s="738"/>
      <c r="J26" s="760"/>
      <c r="K26" s="760"/>
      <c r="L26" s="760"/>
      <c r="M26" s="760"/>
      <c r="N26" s="789"/>
      <c r="O26" s="922"/>
      <c r="P26" s="923"/>
      <c r="Q26" s="923"/>
      <c r="R26" s="923"/>
      <c r="S26" s="923"/>
      <c r="T26" s="923"/>
      <c r="U26" s="924"/>
      <c r="V26" s="925" t="s">
        <v>295</v>
      </c>
      <c r="W26" s="926"/>
      <c r="X26" s="923"/>
      <c r="Y26" s="924"/>
      <c r="Z26" s="927"/>
      <c r="AA26" s="923"/>
      <c r="AB26" s="923"/>
      <c r="AC26" s="928"/>
      <c r="AD26" s="929"/>
      <c r="AE26" s="923"/>
      <c r="AF26" s="923"/>
      <c r="AG26" s="930"/>
      <c r="AH26" s="931"/>
      <c r="AI26" s="932"/>
      <c r="AJ26" s="933"/>
      <c r="AK26" s="793"/>
      <c r="AL26" s="760"/>
      <c r="AM26" s="789"/>
      <c r="AN26" s="789"/>
      <c r="AO26" s="789"/>
      <c r="AQ26" s="743">
        <f t="shared" si="1"/>
        <v>292</v>
      </c>
      <c r="AR26" s="745">
        <v>13</v>
      </c>
      <c r="AS26" s="745">
        <f t="shared" si="3"/>
        <v>23</v>
      </c>
      <c r="AT26" s="738"/>
      <c r="AU26" s="1822" t="s">
        <v>294</v>
      </c>
      <c r="AV26" s="1820"/>
      <c r="AW26" s="754"/>
      <c r="AX26" s="738"/>
    </row>
    <row r="27" spans="1:50" ht="16.95" customHeight="1">
      <c r="A27" s="738"/>
      <c r="B27" s="754"/>
      <c r="C27" s="1820"/>
      <c r="D27" s="1821"/>
      <c r="E27" s="738"/>
      <c r="F27" s="745">
        <f t="shared" si="2"/>
        <v>22</v>
      </c>
      <c r="G27" s="745">
        <v>13</v>
      </c>
      <c r="H27" s="743">
        <f t="shared" si="0"/>
        <v>279</v>
      </c>
      <c r="I27" s="738"/>
      <c r="J27" s="760"/>
      <c r="K27" s="760"/>
      <c r="L27" s="760"/>
      <c r="M27" s="760"/>
      <c r="N27" s="789"/>
      <c r="O27" s="892"/>
      <c r="P27" s="894"/>
      <c r="Q27" s="894"/>
      <c r="R27" s="894"/>
      <c r="S27" s="894"/>
      <c r="T27" s="894"/>
      <c r="U27" s="934"/>
      <c r="V27" s="896" t="s">
        <v>296</v>
      </c>
      <c r="W27" s="935"/>
      <c r="X27" s="894"/>
      <c r="Y27" s="934"/>
      <c r="Z27" s="936"/>
      <c r="AA27" s="894"/>
      <c r="AB27" s="894"/>
      <c r="AC27" s="937"/>
      <c r="AD27" s="938"/>
      <c r="AE27" s="894"/>
      <c r="AF27" s="894"/>
      <c r="AG27" s="939"/>
      <c r="AH27" s="940" t="s">
        <v>297</v>
      </c>
      <c r="AI27" s="941"/>
      <c r="AJ27" s="942"/>
      <c r="AK27" s="793"/>
      <c r="AL27" s="760"/>
      <c r="AM27" s="789"/>
      <c r="AN27" s="789"/>
      <c r="AO27" s="789"/>
      <c r="AQ27" s="743">
        <f t="shared" si="1"/>
        <v>279</v>
      </c>
      <c r="AR27" s="745">
        <v>13</v>
      </c>
      <c r="AS27" s="745">
        <f t="shared" si="3"/>
        <v>22</v>
      </c>
      <c r="AT27" s="738"/>
      <c r="AU27" s="1822"/>
      <c r="AV27" s="1820"/>
      <c r="AW27" s="754"/>
      <c r="AX27" s="738"/>
    </row>
    <row r="28" spans="1:50" ht="16.95" customHeight="1">
      <c r="A28" s="738"/>
      <c r="B28" s="754"/>
      <c r="C28" s="1820"/>
      <c r="D28" s="1821"/>
      <c r="E28" s="738"/>
      <c r="F28" s="745">
        <f t="shared" si="2"/>
        <v>21</v>
      </c>
      <c r="G28" s="745">
        <v>13</v>
      </c>
      <c r="H28" s="743">
        <f t="shared" si="0"/>
        <v>266</v>
      </c>
      <c r="I28" s="738"/>
      <c r="J28" s="759" t="s">
        <v>298</v>
      </c>
      <c r="K28" s="760"/>
      <c r="L28" s="760"/>
      <c r="M28" s="760"/>
      <c r="N28" s="789"/>
      <c r="O28" s="892"/>
      <c r="P28" s="894"/>
      <c r="Q28" s="894"/>
      <c r="R28" s="894"/>
      <c r="S28" s="894"/>
      <c r="T28" s="894"/>
      <c r="U28" s="934"/>
      <c r="V28" s="943" t="s">
        <v>299</v>
      </c>
      <c r="W28" s="894"/>
      <c r="X28" s="894"/>
      <c r="Y28" s="934"/>
      <c r="Z28" s="936"/>
      <c r="AA28" s="894"/>
      <c r="AB28" s="894"/>
      <c r="AC28" s="937"/>
      <c r="AD28" s="938"/>
      <c r="AE28" s="894"/>
      <c r="AF28" s="894"/>
      <c r="AG28" s="939"/>
      <c r="AH28" s="940" t="s">
        <v>300</v>
      </c>
      <c r="AI28" s="941"/>
      <c r="AJ28" s="942"/>
      <c r="AK28" s="793"/>
      <c r="AL28" s="759" t="s">
        <v>301</v>
      </c>
      <c r="AM28" s="789"/>
      <c r="AN28" s="789"/>
      <c r="AO28" s="789"/>
      <c r="AQ28" s="743">
        <f t="shared" si="1"/>
        <v>266</v>
      </c>
      <c r="AR28" s="745">
        <v>13</v>
      </c>
      <c r="AS28" s="745">
        <f t="shared" si="3"/>
        <v>21</v>
      </c>
      <c r="AT28" s="738"/>
      <c r="AU28" s="1822"/>
      <c r="AV28" s="1820"/>
      <c r="AW28" s="754"/>
      <c r="AX28" s="738"/>
    </row>
    <row r="29" spans="1:50" ht="16.95" customHeight="1">
      <c r="A29" s="738"/>
      <c r="B29" s="754"/>
      <c r="C29" s="1820"/>
      <c r="D29" s="1821"/>
      <c r="E29" s="738"/>
      <c r="F29" s="745">
        <f t="shared" si="2"/>
        <v>20</v>
      </c>
      <c r="G29" s="745">
        <v>13</v>
      </c>
      <c r="H29" s="743">
        <f t="shared" si="0"/>
        <v>253</v>
      </c>
      <c r="I29" s="738"/>
      <c r="J29" s="760" t="s">
        <v>302</v>
      </c>
      <c r="K29" s="760"/>
      <c r="L29" s="760"/>
      <c r="M29" s="760"/>
      <c r="N29" s="789"/>
      <c r="O29" s="892"/>
      <c r="P29" s="894"/>
      <c r="Q29" s="894"/>
      <c r="R29" s="894"/>
      <c r="S29" s="894"/>
      <c r="T29" s="894"/>
      <c r="U29" s="934"/>
      <c r="V29" s="896" t="s">
        <v>303</v>
      </c>
      <c r="W29" s="894"/>
      <c r="X29" s="894"/>
      <c r="Y29" s="934"/>
      <c r="Z29" s="936"/>
      <c r="AA29" s="893"/>
      <c r="AB29" s="894"/>
      <c r="AC29" s="937"/>
      <c r="AD29" s="938"/>
      <c r="AE29" s="894"/>
      <c r="AF29" s="894"/>
      <c r="AG29" s="939"/>
      <c r="AH29" s="940"/>
      <c r="AI29" s="941"/>
      <c r="AJ29" s="942"/>
      <c r="AK29" s="793"/>
      <c r="AL29" s="759" t="s">
        <v>304</v>
      </c>
      <c r="AM29" s="789"/>
      <c r="AN29" s="789"/>
      <c r="AO29" s="789"/>
      <c r="AQ29" s="743">
        <f t="shared" si="1"/>
        <v>253</v>
      </c>
      <c r="AR29" s="745">
        <v>13</v>
      </c>
      <c r="AS29" s="745">
        <f t="shared" si="3"/>
        <v>20</v>
      </c>
      <c r="AT29" s="738"/>
      <c r="AU29" s="1822"/>
      <c r="AV29" s="1820"/>
      <c r="AW29" s="754"/>
      <c r="AX29" s="738"/>
    </row>
    <row r="30" spans="1:50" ht="16.95" customHeight="1" thickBot="1">
      <c r="A30" s="738"/>
      <c r="B30" s="754"/>
      <c r="C30" s="1820"/>
      <c r="D30" s="1821"/>
      <c r="E30" s="738"/>
      <c r="F30" s="745">
        <f t="shared" si="2"/>
        <v>19</v>
      </c>
      <c r="G30" s="745">
        <v>13</v>
      </c>
      <c r="H30" s="743">
        <f t="shared" si="0"/>
        <v>240</v>
      </c>
      <c r="I30" s="738"/>
      <c r="J30" s="760" t="s">
        <v>305</v>
      </c>
      <c r="K30" s="760"/>
      <c r="L30" s="760"/>
      <c r="M30" s="760"/>
      <c r="N30" s="789"/>
      <c r="O30" s="944"/>
      <c r="P30" s="945"/>
      <c r="Q30" s="945"/>
      <c r="R30" s="945"/>
      <c r="S30" s="945"/>
      <c r="T30" s="945"/>
      <c r="U30" s="946"/>
      <c r="V30" s="947"/>
      <c r="W30" s="945"/>
      <c r="X30" s="945"/>
      <c r="Y30" s="946"/>
      <c r="Z30" s="948"/>
      <c r="AA30" s="949"/>
      <c r="AB30" s="945"/>
      <c r="AC30" s="950"/>
      <c r="AD30" s="951"/>
      <c r="AE30" s="945"/>
      <c r="AF30" s="945"/>
      <c r="AG30" s="952"/>
      <c r="AH30" s="953"/>
      <c r="AI30" s="954"/>
      <c r="AJ30" s="955"/>
      <c r="AK30" s="793"/>
      <c r="AL30" s="760"/>
      <c r="AM30" s="789"/>
      <c r="AN30" s="789"/>
      <c r="AO30" s="789"/>
      <c r="AQ30" s="743">
        <f t="shared" si="1"/>
        <v>240</v>
      </c>
      <c r="AR30" s="745">
        <v>13</v>
      </c>
      <c r="AS30" s="745">
        <f t="shared" si="3"/>
        <v>19</v>
      </c>
      <c r="AT30" s="738"/>
      <c r="AU30" s="1822"/>
      <c r="AV30" s="1820"/>
      <c r="AW30" s="754"/>
      <c r="AX30" s="738"/>
    </row>
    <row r="31" spans="1:50" ht="16.95" customHeight="1" thickTop="1">
      <c r="A31" s="738"/>
      <c r="B31" s="754"/>
      <c r="C31" s="1820"/>
      <c r="D31" s="1821"/>
      <c r="E31" s="738"/>
      <c r="F31" s="745">
        <f t="shared" si="2"/>
        <v>18</v>
      </c>
      <c r="G31" s="745">
        <v>13</v>
      </c>
      <c r="H31" s="743">
        <f t="shared" si="0"/>
        <v>227</v>
      </c>
      <c r="I31" s="738"/>
      <c r="J31" s="760" t="s">
        <v>306</v>
      </c>
      <c r="K31" s="760"/>
      <c r="L31" s="760"/>
      <c r="M31" s="760"/>
      <c r="N31" s="789"/>
      <c r="O31" s="956"/>
      <c r="P31" s="957"/>
      <c r="Q31" s="957"/>
      <c r="R31" s="957"/>
      <c r="S31" s="957"/>
      <c r="T31" s="957"/>
      <c r="U31" s="958"/>
      <c r="V31" s="959"/>
      <c r="W31" s="957"/>
      <c r="X31" s="957"/>
      <c r="Y31" s="958"/>
      <c r="Z31" s="960"/>
      <c r="AA31" s="961"/>
      <c r="AB31" s="957"/>
      <c r="AC31" s="962"/>
      <c r="AD31" s="963"/>
      <c r="AE31" s="957"/>
      <c r="AF31" s="957"/>
      <c r="AG31" s="957"/>
      <c r="AH31" s="931"/>
      <c r="AI31" s="932"/>
      <c r="AJ31" s="933"/>
      <c r="AK31" s="793"/>
      <c r="AM31" s="760" t="s">
        <v>307</v>
      </c>
      <c r="AN31" s="789"/>
      <c r="AO31" s="789"/>
      <c r="AQ31" s="743">
        <f t="shared" si="1"/>
        <v>227</v>
      </c>
      <c r="AR31" s="745">
        <v>13</v>
      </c>
      <c r="AS31" s="745">
        <f t="shared" si="3"/>
        <v>18</v>
      </c>
      <c r="AT31" s="738"/>
      <c r="AU31" s="1822"/>
      <c r="AV31" s="1820"/>
      <c r="AW31" s="754"/>
      <c r="AX31" s="738"/>
    </row>
    <row r="32" spans="1:50" ht="16.95" customHeight="1">
      <c r="A32" s="738"/>
      <c r="B32" s="754"/>
      <c r="C32" s="1820"/>
      <c r="D32" s="1821"/>
      <c r="E32" s="738"/>
      <c r="F32" s="745">
        <f t="shared" si="2"/>
        <v>17</v>
      </c>
      <c r="G32" s="745">
        <v>13</v>
      </c>
      <c r="H32" s="743">
        <f t="shared" si="0"/>
        <v>214</v>
      </c>
      <c r="I32" s="738"/>
      <c r="J32" s="759" t="s">
        <v>308</v>
      </c>
      <c r="K32" s="760"/>
      <c r="L32" s="760"/>
      <c r="M32" s="760"/>
      <c r="N32" s="789"/>
      <c r="O32" s="892"/>
      <c r="P32" s="894"/>
      <c r="Q32" s="894"/>
      <c r="R32" s="894"/>
      <c r="S32" s="894"/>
      <c r="T32" s="894"/>
      <c r="U32" s="934"/>
      <c r="V32" s="964"/>
      <c r="W32" s="894"/>
      <c r="X32" s="894"/>
      <c r="Y32" s="934"/>
      <c r="Z32" s="936"/>
      <c r="AA32" s="893"/>
      <c r="AB32" s="894"/>
      <c r="AC32" s="937"/>
      <c r="AD32" s="938"/>
      <c r="AE32" s="894"/>
      <c r="AF32" s="894"/>
      <c r="AG32" s="894"/>
      <c r="AH32" s="940" t="s">
        <v>297</v>
      </c>
      <c r="AI32" s="941"/>
      <c r="AJ32" s="942"/>
      <c r="AK32" s="793"/>
      <c r="AM32" s="760" t="s">
        <v>298</v>
      </c>
      <c r="AN32" s="789"/>
      <c r="AO32" s="789"/>
      <c r="AQ32" s="743">
        <f t="shared" si="1"/>
        <v>214</v>
      </c>
      <c r="AR32" s="745">
        <v>13</v>
      </c>
      <c r="AS32" s="745">
        <f t="shared" si="3"/>
        <v>17</v>
      </c>
      <c r="AT32" s="738"/>
      <c r="AU32" s="1822"/>
      <c r="AV32" s="1820"/>
      <c r="AW32" s="754"/>
      <c r="AX32" s="738"/>
    </row>
    <row r="33" spans="1:50" ht="16.95" customHeight="1">
      <c r="A33" s="738"/>
      <c r="B33" s="754"/>
      <c r="C33" s="1820"/>
      <c r="D33" s="1821"/>
      <c r="E33" s="738"/>
      <c r="F33" s="745">
        <f t="shared" si="2"/>
        <v>16</v>
      </c>
      <c r="G33" s="745">
        <v>13</v>
      </c>
      <c r="H33" s="743">
        <f t="shared" si="0"/>
        <v>201</v>
      </c>
      <c r="I33" s="738"/>
      <c r="J33" s="760" t="s">
        <v>309</v>
      </c>
      <c r="K33" s="760"/>
      <c r="L33" s="760"/>
      <c r="M33" s="760"/>
      <c r="N33" s="789"/>
      <c r="O33" s="892"/>
      <c r="P33" s="894"/>
      <c r="Q33" s="894"/>
      <c r="R33" s="894"/>
      <c r="S33" s="894"/>
      <c r="T33" s="894"/>
      <c r="U33" s="934"/>
      <c r="V33" s="964"/>
      <c r="W33" s="894"/>
      <c r="X33" s="894"/>
      <c r="Y33" s="934"/>
      <c r="Z33" s="936"/>
      <c r="AA33" s="893"/>
      <c r="AB33" s="894"/>
      <c r="AC33" s="937"/>
      <c r="AD33" s="938"/>
      <c r="AE33" s="894"/>
      <c r="AF33" s="894"/>
      <c r="AG33" s="894"/>
      <c r="AH33" s="940" t="s">
        <v>310</v>
      </c>
      <c r="AI33" s="941"/>
      <c r="AJ33" s="942"/>
      <c r="AK33" s="793"/>
      <c r="AM33" s="760" t="s">
        <v>348</v>
      </c>
      <c r="AN33" s="789"/>
      <c r="AO33" s="789"/>
      <c r="AQ33" s="743">
        <f t="shared" si="1"/>
        <v>201</v>
      </c>
      <c r="AR33" s="745">
        <v>13</v>
      </c>
      <c r="AS33" s="745">
        <f t="shared" si="3"/>
        <v>16</v>
      </c>
      <c r="AT33" s="738"/>
      <c r="AU33" s="1822"/>
      <c r="AV33" s="1820"/>
      <c r="AW33" s="754"/>
      <c r="AX33" s="738"/>
    </row>
    <row r="34" spans="1:50" ht="16.95" customHeight="1">
      <c r="A34" s="738"/>
      <c r="B34" s="754"/>
      <c r="C34" s="1820"/>
      <c r="D34" s="1821"/>
      <c r="E34" s="738"/>
      <c r="F34" s="745">
        <f t="shared" si="2"/>
        <v>15</v>
      </c>
      <c r="G34" s="745">
        <v>13</v>
      </c>
      <c r="H34" s="743">
        <f t="shared" si="0"/>
        <v>188</v>
      </c>
      <c r="I34" s="738"/>
      <c r="J34" s="760" t="s">
        <v>311</v>
      </c>
      <c r="K34" s="760"/>
      <c r="L34" s="760"/>
      <c r="M34" s="760"/>
      <c r="N34" s="789"/>
      <c r="O34" s="892"/>
      <c r="P34" s="894"/>
      <c r="Q34" s="894"/>
      <c r="R34" s="894"/>
      <c r="S34" s="894"/>
      <c r="T34" s="894"/>
      <c r="U34" s="934"/>
      <c r="V34" s="964"/>
      <c r="W34" s="894"/>
      <c r="X34" s="894"/>
      <c r="Y34" s="934"/>
      <c r="Z34" s="936"/>
      <c r="AA34" s="893"/>
      <c r="AB34" s="894"/>
      <c r="AC34" s="937"/>
      <c r="AD34" s="938"/>
      <c r="AE34" s="894"/>
      <c r="AF34" s="894"/>
      <c r="AG34" s="894"/>
      <c r="AH34" s="940"/>
      <c r="AI34" s="941"/>
      <c r="AJ34" s="942"/>
      <c r="AK34" s="793"/>
      <c r="AL34" s="793"/>
      <c r="AM34" s="872" t="s">
        <v>349</v>
      </c>
      <c r="AN34" s="789"/>
      <c r="AO34" s="789"/>
      <c r="AQ34" s="743">
        <f t="shared" si="1"/>
        <v>188</v>
      </c>
      <c r="AR34" s="745">
        <v>13</v>
      </c>
      <c r="AS34" s="745">
        <f t="shared" si="3"/>
        <v>15</v>
      </c>
      <c r="AT34" s="738"/>
      <c r="AU34" s="1822"/>
      <c r="AV34" s="1820"/>
      <c r="AW34" s="754"/>
      <c r="AX34" s="738"/>
    </row>
    <row r="35" spans="1:50" ht="16.95" customHeight="1" thickBot="1">
      <c r="A35" s="738"/>
      <c r="B35" s="754"/>
      <c r="C35" s="1820"/>
      <c r="D35" s="1821"/>
      <c r="E35" s="738"/>
      <c r="F35" s="745">
        <f t="shared" si="2"/>
        <v>14</v>
      </c>
      <c r="G35" s="745">
        <v>13</v>
      </c>
      <c r="H35" s="743">
        <f t="shared" si="0"/>
        <v>175</v>
      </c>
      <c r="I35" s="738"/>
      <c r="J35" s="760" t="s">
        <v>312</v>
      </c>
      <c r="K35" s="760"/>
      <c r="L35" s="760"/>
      <c r="M35" s="760"/>
      <c r="N35" s="789"/>
      <c r="O35" s="965"/>
      <c r="P35" s="902"/>
      <c r="Q35" s="902"/>
      <c r="R35" s="902"/>
      <c r="S35" s="902"/>
      <c r="T35" s="902"/>
      <c r="U35" s="966"/>
      <c r="V35" s="967"/>
      <c r="W35" s="902"/>
      <c r="X35" s="902"/>
      <c r="Y35" s="966"/>
      <c r="Z35" s="968"/>
      <c r="AA35" s="904"/>
      <c r="AB35" s="902"/>
      <c r="AC35" s="969"/>
      <c r="AD35" s="970"/>
      <c r="AE35" s="902"/>
      <c r="AF35" s="902"/>
      <c r="AG35" s="902"/>
      <c r="AH35" s="953"/>
      <c r="AI35" s="954"/>
      <c r="AJ35" s="955"/>
      <c r="AK35" s="793"/>
      <c r="AL35" s="793"/>
      <c r="AM35" s="872" t="s">
        <v>346</v>
      </c>
      <c r="AN35" s="789"/>
      <c r="AO35" s="789"/>
      <c r="AQ35" s="743">
        <f t="shared" si="1"/>
        <v>175</v>
      </c>
      <c r="AR35" s="745">
        <v>13</v>
      </c>
      <c r="AS35" s="745">
        <f t="shared" si="3"/>
        <v>14</v>
      </c>
      <c r="AT35" s="738"/>
      <c r="AU35" s="1822"/>
      <c r="AV35" s="1820"/>
      <c r="AW35" s="754"/>
      <c r="AX35" s="738"/>
    </row>
    <row r="36" spans="1:50" ht="16.95" customHeight="1" thickTop="1">
      <c r="A36" s="738"/>
      <c r="B36" s="754"/>
      <c r="C36" s="1820"/>
      <c r="D36" s="1821"/>
      <c r="E36" s="738"/>
      <c r="F36" s="745">
        <f t="shared" si="2"/>
        <v>13</v>
      </c>
      <c r="G36" s="745">
        <v>13</v>
      </c>
      <c r="H36" s="743">
        <f t="shared" si="0"/>
        <v>162</v>
      </c>
      <c r="I36" s="738"/>
      <c r="J36" s="760"/>
      <c r="K36" s="760"/>
      <c r="L36" s="760"/>
      <c r="M36" s="760"/>
      <c r="N36" s="789"/>
      <c r="O36" s="922"/>
      <c r="P36" s="923"/>
      <c r="Q36" s="923"/>
      <c r="R36" s="923"/>
      <c r="S36" s="923"/>
      <c r="T36" s="923"/>
      <c r="U36" s="924"/>
      <c r="V36" s="971"/>
      <c r="W36" s="923"/>
      <c r="X36" s="923"/>
      <c r="Y36" s="924"/>
      <c r="Z36" s="927"/>
      <c r="AA36" s="972"/>
      <c r="AB36" s="923"/>
      <c r="AC36" s="928"/>
      <c r="AD36" s="929"/>
      <c r="AE36" s="923"/>
      <c r="AF36" s="923"/>
      <c r="AG36" s="930"/>
      <c r="AH36" s="931"/>
      <c r="AI36" s="932"/>
      <c r="AJ36" s="933"/>
      <c r="AK36" s="793"/>
      <c r="AL36" s="793"/>
      <c r="AM36" s="789"/>
      <c r="AN36" s="789"/>
      <c r="AO36" s="789"/>
      <c r="AQ36" s="743">
        <f t="shared" si="1"/>
        <v>162</v>
      </c>
      <c r="AR36" s="745">
        <v>13</v>
      </c>
      <c r="AS36" s="745">
        <f t="shared" si="3"/>
        <v>13</v>
      </c>
      <c r="AT36" s="738"/>
      <c r="AU36" s="1822"/>
      <c r="AV36" s="1820"/>
      <c r="AW36" s="754"/>
      <c r="AX36" s="738"/>
    </row>
    <row r="37" spans="1:50" ht="16.95" customHeight="1">
      <c r="A37" s="738"/>
      <c r="B37" s="754"/>
      <c r="C37" s="1820"/>
      <c r="D37" s="1821"/>
      <c r="E37" s="738"/>
      <c r="F37" s="745">
        <f t="shared" si="2"/>
        <v>12</v>
      </c>
      <c r="G37" s="745">
        <v>13</v>
      </c>
      <c r="H37" s="743">
        <f t="shared" si="0"/>
        <v>149</v>
      </c>
      <c r="I37" s="738"/>
      <c r="J37" s="760"/>
      <c r="K37" s="760"/>
      <c r="L37" s="760"/>
      <c r="M37" s="760"/>
      <c r="N37" s="789"/>
      <c r="O37" s="892"/>
      <c r="P37" s="894"/>
      <c r="Q37" s="894"/>
      <c r="R37" s="894"/>
      <c r="S37" s="894"/>
      <c r="T37" s="894"/>
      <c r="U37" s="934"/>
      <c r="V37" s="964"/>
      <c r="W37" s="894"/>
      <c r="X37" s="894"/>
      <c r="Y37" s="934"/>
      <c r="Z37" s="936"/>
      <c r="AA37" s="893"/>
      <c r="AB37" s="894"/>
      <c r="AC37" s="937"/>
      <c r="AD37" s="938"/>
      <c r="AE37" s="894"/>
      <c r="AF37" s="894"/>
      <c r="AG37" s="939"/>
      <c r="AH37" s="940" t="s">
        <v>297</v>
      </c>
      <c r="AI37" s="941"/>
      <c r="AJ37" s="942"/>
      <c r="AK37" s="793"/>
      <c r="AL37" s="793"/>
      <c r="AM37" s="789"/>
      <c r="AN37" s="789"/>
      <c r="AO37" s="789"/>
      <c r="AQ37" s="743">
        <f t="shared" si="1"/>
        <v>149</v>
      </c>
      <c r="AR37" s="745">
        <v>13</v>
      </c>
      <c r="AS37" s="745">
        <f t="shared" si="3"/>
        <v>12</v>
      </c>
      <c r="AT37" s="738"/>
      <c r="AU37" s="1822"/>
      <c r="AV37" s="1820"/>
      <c r="AW37" s="754"/>
      <c r="AX37" s="738"/>
    </row>
    <row r="38" spans="1:50" ht="16.95" customHeight="1">
      <c r="A38" s="738"/>
      <c r="B38" s="754"/>
      <c r="C38" s="1820"/>
      <c r="D38" s="1821"/>
      <c r="E38" s="738"/>
      <c r="F38" s="745">
        <f t="shared" si="2"/>
        <v>11</v>
      </c>
      <c r="G38" s="745">
        <v>13</v>
      </c>
      <c r="H38" s="743">
        <f t="shared" si="0"/>
        <v>136</v>
      </c>
      <c r="I38" s="738"/>
      <c r="J38" s="760"/>
      <c r="K38" s="760"/>
      <c r="L38" s="760"/>
      <c r="M38" s="760"/>
      <c r="N38" s="789"/>
      <c r="O38" s="892"/>
      <c r="P38" s="894"/>
      <c r="Q38" s="894"/>
      <c r="R38" s="894"/>
      <c r="S38" s="894"/>
      <c r="T38" s="894"/>
      <c r="U38" s="934"/>
      <c r="V38" s="964"/>
      <c r="W38" s="894"/>
      <c r="X38" s="894"/>
      <c r="Y38" s="934"/>
      <c r="Z38" s="936"/>
      <c r="AA38" s="893"/>
      <c r="AB38" s="894"/>
      <c r="AC38" s="937"/>
      <c r="AD38" s="938"/>
      <c r="AE38" s="894"/>
      <c r="AF38" s="894"/>
      <c r="AG38" s="934"/>
      <c r="AH38" s="940" t="s">
        <v>313</v>
      </c>
      <c r="AI38" s="941"/>
      <c r="AJ38" s="942"/>
      <c r="AK38" s="760"/>
      <c r="AL38" s="760"/>
      <c r="AM38" s="760"/>
      <c r="AN38" s="789"/>
      <c r="AO38" s="789"/>
      <c r="AQ38" s="743">
        <f t="shared" si="1"/>
        <v>136</v>
      </c>
      <c r="AR38" s="745">
        <v>13</v>
      </c>
      <c r="AS38" s="745">
        <f t="shared" si="3"/>
        <v>11</v>
      </c>
      <c r="AT38" s="738"/>
      <c r="AU38" s="1822"/>
      <c r="AV38" s="1820"/>
      <c r="AW38" s="754"/>
      <c r="AX38" s="738"/>
    </row>
    <row r="39" spans="1:50" ht="16.95" customHeight="1">
      <c r="A39" s="738"/>
      <c r="B39" s="754"/>
      <c r="C39" s="1820"/>
      <c r="D39" s="1821"/>
      <c r="E39" s="738"/>
      <c r="F39" s="745">
        <f t="shared" si="2"/>
        <v>10</v>
      </c>
      <c r="G39" s="745">
        <v>13</v>
      </c>
      <c r="H39" s="743">
        <f t="shared" si="0"/>
        <v>123</v>
      </c>
      <c r="I39" s="738"/>
      <c r="J39" s="760"/>
      <c r="K39" s="760"/>
      <c r="L39" s="760"/>
      <c r="M39" s="760"/>
      <c r="N39" s="789"/>
      <c r="O39" s="892"/>
      <c r="P39" s="894" t="s">
        <v>314</v>
      </c>
      <c r="Q39" s="894"/>
      <c r="R39" s="894"/>
      <c r="S39" s="894"/>
      <c r="T39" s="894"/>
      <c r="U39" s="934"/>
      <c r="V39" s="964"/>
      <c r="W39" s="894"/>
      <c r="X39" s="894"/>
      <c r="Y39" s="934"/>
      <c r="Z39" s="936"/>
      <c r="AA39" s="893"/>
      <c r="AB39" s="894"/>
      <c r="AC39" s="937"/>
      <c r="AD39" s="938"/>
      <c r="AE39" s="894"/>
      <c r="AF39" s="894"/>
      <c r="AG39" s="934"/>
      <c r="AH39" s="940"/>
      <c r="AI39" s="941"/>
      <c r="AJ39" s="942"/>
      <c r="AK39" s="760"/>
      <c r="AL39" s="760"/>
      <c r="AM39" s="760"/>
      <c r="AN39" s="789"/>
      <c r="AO39" s="789"/>
      <c r="AQ39" s="743">
        <f t="shared" si="1"/>
        <v>123</v>
      </c>
      <c r="AR39" s="745">
        <v>13</v>
      </c>
      <c r="AS39" s="745">
        <f t="shared" si="3"/>
        <v>10</v>
      </c>
      <c r="AT39" s="738"/>
      <c r="AU39" s="761"/>
      <c r="AV39" s="762"/>
      <c r="AW39" s="754"/>
      <c r="AX39" s="738"/>
    </row>
    <row r="40" spans="1:50" ht="16.95" customHeight="1" thickBot="1">
      <c r="A40" s="738"/>
      <c r="B40" s="754"/>
      <c r="C40" s="755"/>
      <c r="D40" s="756"/>
      <c r="E40" s="738"/>
      <c r="F40" s="745">
        <f t="shared" si="2"/>
        <v>9</v>
      </c>
      <c r="G40" s="745">
        <v>13</v>
      </c>
      <c r="H40" s="743">
        <f t="shared" si="0"/>
        <v>110</v>
      </c>
      <c r="I40" s="738"/>
      <c r="J40" s="760"/>
      <c r="K40" s="760"/>
      <c r="L40" s="760"/>
      <c r="M40" s="760"/>
      <c r="N40" s="789"/>
      <c r="O40" s="973" t="s">
        <v>315</v>
      </c>
      <c r="P40" s="902"/>
      <c r="Q40" s="902"/>
      <c r="R40" s="970"/>
      <c r="S40" s="974"/>
      <c r="T40" s="974"/>
      <c r="U40" s="902" t="s">
        <v>316</v>
      </c>
      <c r="V40" s="902"/>
      <c r="W40" s="966"/>
      <c r="X40" s="967"/>
      <c r="Y40" s="902" t="s">
        <v>317</v>
      </c>
      <c r="Z40" s="968"/>
      <c r="AA40" s="902"/>
      <c r="AB40" s="902"/>
      <c r="AC40" s="969"/>
      <c r="AD40" s="970"/>
      <c r="AE40" s="902"/>
      <c r="AF40" s="902"/>
      <c r="AG40" s="966"/>
      <c r="AH40" s="953"/>
      <c r="AI40" s="954"/>
      <c r="AJ40" s="955"/>
      <c r="AK40" s="760"/>
      <c r="AL40" s="760"/>
      <c r="AM40" s="760"/>
      <c r="AN40" s="789"/>
      <c r="AO40" s="789"/>
      <c r="AQ40" s="743">
        <f t="shared" si="1"/>
        <v>110</v>
      </c>
      <c r="AR40" s="745">
        <v>13</v>
      </c>
      <c r="AS40" s="745">
        <f t="shared" si="3"/>
        <v>9</v>
      </c>
      <c r="AT40" s="738"/>
      <c r="AU40" s="757"/>
      <c r="AV40" s="755"/>
      <c r="AW40" s="754"/>
      <c r="AX40" s="738"/>
    </row>
    <row r="41" spans="1:50" ht="16.95" customHeight="1" thickTop="1">
      <c r="A41" s="738"/>
      <c r="B41" s="754"/>
      <c r="C41" s="755"/>
      <c r="D41" s="756"/>
      <c r="E41" s="738"/>
      <c r="F41" s="745">
        <f t="shared" si="2"/>
        <v>8</v>
      </c>
      <c r="G41" s="745">
        <v>20</v>
      </c>
      <c r="H41" s="743">
        <f t="shared" si="0"/>
        <v>90</v>
      </c>
      <c r="I41" s="748"/>
      <c r="J41" s="811"/>
      <c r="K41" s="811"/>
      <c r="L41" s="975" t="s">
        <v>318</v>
      </c>
      <c r="M41" s="976"/>
      <c r="N41" s="797"/>
      <c r="O41" s="913"/>
      <c r="P41" s="913"/>
      <c r="Q41" s="913" t="s">
        <v>319</v>
      </c>
      <c r="R41" s="913"/>
      <c r="S41" s="913"/>
      <c r="T41" s="913"/>
      <c r="U41" s="915"/>
      <c r="V41" s="916"/>
      <c r="W41" s="913"/>
      <c r="X41" s="913"/>
      <c r="Y41" s="915"/>
      <c r="Z41" s="917"/>
      <c r="AA41" s="913"/>
      <c r="AB41" s="913"/>
      <c r="AC41" s="919"/>
      <c r="AD41" s="920"/>
      <c r="AE41" s="913"/>
      <c r="AF41" s="913"/>
      <c r="AG41" s="913"/>
      <c r="AH41" s="977"/>
      <c r="AI41" s="977"/>
      <c r="AJ41" s="977"/>
      <c r="AK41" s="797"/>
      <c r="AL41" s="978"/>
      <c r="AM41" s="979"/>
      <c r="AN41" s="980"/>
      <c r="AO41" s="809"/>
      <c r="AP41" s="810"/>
      <c r="AQ41" s="743">
        <f t="shared" si="1"/>
        <v>90</v>
      </c>
      <c r="AR41" s="745">
        <v>20</v>
      </c>
      <c r="AS41" s="745">
        <f t="shared" si="3"/>
        <v>8</v>
      </c>
      <c r="AT41" s="738"/>
      <c r="AU41" s="757"/>
      <c r="AV41" s="755"/>
      <c r="AW41" s="754"/>
      <c r="AX41" s="738"/>
    </row>
    <row r="42" spans="1:50" ht="16.95" customHeight="1">
      <c r="A42" s="738"/>
      <c r="B42" s="754"/>
      <c r="C42" s="755"/>
      <c r="D42" s="756"/>
      <c r="E42" s="738"/>
      <c r="F42" s="745">
        <f t="shared" si="2"/>
        <v>7</v>
      </c>
      <c r="G42" s="745">
        <v>10</v>
      </c>
      <c r="H42" s="743">
        <f t="shared" si="0"/>
        <v>80</v>
      </c>
      <c r="I42" s="738"/>
      <c r="J42" s="760"/>
      <c r="K42" s="760"/>
      <c r="L42" s="981"/>
      <c r="M42" s="982"/>
      <c r="N42" s="982"/>
      <c r="O42" s="982"/>
      <c r="P42" s="982"/>
      <c r="Q42" s="982"/>
      <c r="R42" s="982"/>
      <c r="S42" s="982"/>
      <c r="T42" s="982"/>
      <c r="U42" s="983"/>
      <c r="V42" s="984"/>
      <c r="W42" s="982"/>
      <c r="X42" s="982"/>
      <c r="Y42" s="983"/>
      <c r="Z42" s="985"/>
      <c r="AA42" s="986"/>
      <c r="AB42" s="982"/>
      <c r="AC42" s="987"/>
      <c r="AD42" s="988"/>
      <c r="AE42" s="982"/>
      <c r="AF42" s="982"/>
      <c r="AG42" s="982"/>
      <c r="AH42" s="982"/>
      <c r="AI42" s="982"/>
      <c r="AJ42" s="982"/>
      <c r="AK42" s="982"/>
      <c r="AL42" s="989"/>
      <c r="AM42" s="1823" t="s">
        <v>320</v>
      </c>
      <c r="AN42" s="990"/>
      <c r="AO42" s="793"/>
      <c r="AP42" s="834"/>
      <c r="AQ42" s="743">
        <f t="shared" si="1"/>
        <v>80</v>
      </c>
      <c r="AR42" s="745">
        <v>10</v>
      </c>
      <c r="AS42" s="745">
        <f t="shared" si="3"/>
        <v>7</v>
      </c>
      <c r="AT42" s="738"/>
      <c r="AU42" s="757"/>
      <c r="AV42" s="755"/>
      <c r="AW42" s="754"/>
      <c r="AX42" s="738"/>
    </row>
    <row r="43" spans="1:50" ht="16.95" customHeight="1">
      <c r="A43" s="738"/>
      <c r="B43" s="754"/>
      <c r="C43" s="755"/>
      <c r="D43" s="756"/>
      <c r="E43" s="738"/>
      <c r="F43" s="745">
        <f t="shared" si="2"/>
        <v>6</v>
      </c>
      <c r="G43" s="745">
        <v>10</v>
      </c>
      <c r="H43" s="743">
        <f t="shared" si="0"/>
        <v>70</v>
      </c>
      <c r="I43" s="738"/>
      <c r="J43" s="1063" t="s">
        <v>350</v>
      </c>
      <c r="K43" s="760"/>
      <c r="L43" s="991"/>
      <c r="M43" s="992"/>
      <c r="N43" s="992"/>
      <c r="O43" s="992"/>
      <c r="P43" s="992"/>
      <c r="Q43" s="992"/>
      <c r="R43" s="992"/>
      <c r="S43" s="992"/>
      <c r="T43" s="992"/>
      <c r="U43" s="993"/>
      <c r="V43" s="994"/>
      <c r="W43" s="992"/>
      <c r="X43" s="992"/>
      <c r="Y43" s="993"/>
      <c r="Z43" s="995"/>
      <c r="AA43" s="996"/>
      <c r="AB43" s="992"/>
      <c r="AC43" s="997"/>
      <c r="AD43" s="998"/>
      <c r="AE43" s="992"/>
      <c r="AF43" s="992"/>
      <c r="AG43" s="992"/>
      <c r="AH43" s="992"/>
      <c r="AI43" s="992"/>
      <c r="AJ43" s="992"/>
      <c r="AK43" s="992"/>
      <c r="AL43" s="999"/>
      <c r="AM43" s="1823"/>
      <c r="AN43" s="990"/>
      <c r="AO43" s="793"/>
      <c r="AP43" s="834"/>
      <c r="AQ43" s="743">
        <f t="shared" si="1"/>
        <v>70</v>
      </c>
      <c r="AR43" s="745">
        <v>10</v>
      </c>
      <c r="AS43" s="745">
        <f t="shared" si="3"/>
        <v>6</v>
      </c>
      <c r="AT43" s="738"/>
      <c r="AU43" s="757"/>
      <c r="AV43" s="755"/>
      <c r="AW43" s="754"/>
      <c r="AX43" s="738"/>
    </row>
    <row r="44" spans="1:50" ht="16.95" customHeight="1">
      <c r="A44" s="738"/>
      <c r="B44" s="754"/>
      <c r="C44" s="755"/>
      <c r="D44" s="756"/>
      <c r="E44" s="738"/>
      <c r="F44" s="745">
        <f t="shared" si="2"/>
        <v>5</v>
      </c>
      <c r="G44" s="745">
        <v>10</v>
      </c>
      <c r="H44" s="743">
        <f t="shared" si="0"/>
        <v>60</v>
      </c>
      <c r="I44" s="738"/>
      <c r="J44" s="1063" t="s">
        <v>351</v>
      </c>
      <c r="K44" s="760"/>
      <c r="L44" s="991"/>
      <c r="M44" s="992"/>
      <c r="N44" s="992"/>
      <c r="O44" s="992"/>
      <c r="P44" s="992"/>
      <c r="Q44" s="992"/>
      <c r="R44" s="992"/>
      <c r="S44" s="992"/>
      <c r="T44" s="992"/>
      <c r="U44" s="993"/>
      <c r="V44" s="994"/>
      <c r="W44" s="992"/>
      <c r="X44" s="992"/>
      <c r="Y44" s="993"/>
      <c r="Z44" s="995"/>
      <c r="AA44" s="996"/>
      <c r="AB44" s="992"/>
      <c r="AC44" s="997"/>
      <c r="AD44" s="998"/>
      <c r="AE44" s="992"/>
      <c r="AF44" s="992"/>
      <c r="AG44" s="992"/>
      <c r="AH44" s="992"/>
      <c r="AI44" s="992"/>
      <c r="AJ44" s="992"/>
      <c r="AK44" s="992"/>
      <c r="AL44" s="999"/>
      <c r="AM44" s="1823"/>
      <c r="AN44" s="990"/>
      <c r="AO44" s="793"/>
      <c r="AP44" s="834"/>
      <c r="AQ44" s="743">
        <f t="shared" si="1"/>
        <v>60</v>
      </c>
      <c r="AR44" s="745">
        <v>10</v>
      </c>
      <c r="AS44" s="745">
        <f t="shared" si="3"/>
        <v>5</v>
      </c>
      <c r="AT44" s="738"/>
      <c r="AU44" s="757"/>
      <c r="AV44" s="755"/>
      <c r="AW44" s="754"/>
      <c r="AX44" s="738"/>
    </row>
    <row r="45" spans="1:50" ht="16.95" customHeight="1">
      <c r="A45" s="738"/>
      <c r="B45" s="754"/>
      <c r="C45" s="755"/>
      <c r="D45" s="756"/>
      <c r="E45" s="738"/>
      <c r="F45" s="745">
        <f t="shared" si="2"/>
        <v>4</v>
      </c>
      <c r="G45" s="745">
        <v>10</v>
      </c>
      <c r="H45" s="743">
        <f t="shared" si="0"/>
        <v>50</v>
      </c>
      <c r="I45" s="738"/>
      <c r="J45" s="760"/>
      <c r="K45" s="760"/>
      <c r="L45" s="1000" t="s">
        <v>321</v>
      </c>
      <c r="M45" s="1001"/>
      <c r="N45" s="1001"/>
      <c r="O45" s="1002"/>
      <c r="P45" s="1003"/>
      <c r="Q45" s="1001"/>
      <c r="R45" s="1001" t="s">
        <v>322</v>
      </c>
      <c r="S45" s="1001"/>
      <c r="T45" s="1001"/>
      <c r="U45" s="1004"/>
      <c r="V45" s="1005"/>
      <c r="W45" s="1001"/>
      <c r="X45" s="1001"/>
      <c r="Y45" s="1004"/>
      <c r="Z45" s="1006"/>
      <c r="AA45" s="1001"/>
      <c r="AB45" s="1001"/>
      <c r="AC45" s="1007"/>
      <c r="AD45" s="1002"/>
      <c r="AE45" s="1001"/>
      <c r="AF45" s="1001"/>
      <c r="AG45" s="1001"/>
      <c r="AH45" s="1001"/>
      <c r="AI45" s="1001"/>
      <c r="AJ45" s="1001"/>
      <c r="AK45" s="1001"/>
      <c r="AL45" s="1008"/>
      <c r="AM45" s="1823" t="s">
        <v>320</v>
      </c>
      <c r="AN45" s="990"/>
      <c r="AO45" s="793"/>
      <c r="AP45" s="834"/>
      <c r="AQ45" s="743">
        <f t="shared" si="1"/>
        <v>50</v>
      </c>
      <c r="AR45" s="745">
        <v>10</v>
      </c>
      <c r="AS45" s="745">
        <f t="shared" si="3"/>
        <v>4</v>
      </c>
      <c r="AT45" s="738"/>
      <c r="AU45" s="757"/>
      <c r="AV45" s="755"/>
      <c r="AW45" s="754"/>
      <c r="AX45" s="738"/>
    </row>
    <row r="46" spans="1:50" ht="16.95" customHeight="1">
      <c r="A46" s="738"/>
      <c r="B46" s="754"/>
      <c r="C46" s="755"/>
      <c r="D46" s="756"/>
      <c r="E46" s="738"/>
      <c r="F46" s="745">
        <f t="shared" si="2"/>
        <v>3</v>
      </c>
      <c r="G46" s="745">
        <v>15</v>
      </c>
      <c r="H46" s="743">
        <f t="shared" si="0"/>
        <v>35</v>
      </c>
      <c r="I46" s="747"/>
      <c r="J46" s="795"/>
      <c r="K46" s="795"/>
      <c r="L46" s="1009"/>
      <c r="M46" s="923"/>
      <c r="N46" s="923"/>
      <c r="O46" s="923"/>
      <c r="P46" s="923"/>
      <c r="Q46" s="923"/>
      <c r="R46" s="923"/>
      <c r="S46" s="923"/>
      <c r="T46" s="923"/>
      <c r="U46" s="924"/>
      <c r="V46" s="971"/>
      <c r="W46" s="923"/>
      <c r="X46" s="923"/>
      <c r="Y46" s="924"/>
      <c r="Z46" s="927"/>
      <c r="AA46" s="972"/>
      <c r="AB46" s="923"/>
      <c r="AC46" s="928"/>
      <c r="AD46" s="929"/>
      <c r="AE46" s="923"/>
      <c r="AF46" s="923"/>
      <c r="AG46" s="924"/>
      <c r="AH46" s="1010"/>
      <c r="AI46" s="1011" t="s">
        <v>323</v>
      </c>
      <c r="AJ46" s="1011"/>
      <c r="AK46" s="1011"/>
      <c r="AL46" s="1012"/>
      <c r="AM46" s="1823"/>
      <c r="AN46" s="990"/>
      <c r="AO46" s="793"/>
      <c r="AP46" s="834"/>
      <c r="AQ46" s="743">
        <f t="shared" si="1"/>
        <v>35</v>
      </c>
      <c r="AR46" s="745">
        <v>15</v>
      </c>
      <c r="AS46" s="745">
        <f t="shared" si="3"/>
        <v>3</v>
      </c>
      <c r="AT46" s="738"/>
      <c r="AU46" s="757"/>
      <c r="AV46" s="755"/>
      <c r="AW46" s="754"/>
      <c r="AX46" s="738"/>
    </row>
    <row r="47" spans="1:50" ht="16.95" customHeight="1" thickBot="1">
      <c r="A47" s="738"/>
      <c r="B47" s="754"/>
      <c r="C47" s="755"/>
      <c r="D47" s="756"/>
      <c r="E47" s="738"/>
      <c r="F47" s="745">
        <f t="shared" si="2"/>
        <v>2</v>
      </c>
      <c r="G47" s="745">
        <v>15</v>
      </c>
      <c r="H47" s="743">
        <f>H48 +G48</f>
        <v>20</v>
      </c>
      <c r="I47" s="738"/>
      <c r="J47" s="760"/>
      <c r="K47" s="760"/>
      <c r="L47" s="1013" t="s">
        <v>324</v>
      </c>
      <c r="M47" s="894"/>
      <c r="N47" s="894"/>
      <c r="O47" s="893"/>
      <c r="P47" s="905"/>
      <c r="Q47" s="894"/>
      <c r="R47" s="893" t="s">
        <v>325</v>
      </c>
      <c r="S47" s="894"/>
      <c r="T47" s="894"/>
      <c r="U47" s="934"/>
      <c r="V47" s="964"/>
      <c r="W47" s="894"/>
      <c r="X47" s="894"/>
      <c r="Y47" s="934"/>
      <c r="Z47" s="936"/>
      <c r="AA47" s="893"/>
      <c r="AB47" s="894"/>
      <c r="AC47" s="937"/>
      <c r="AD47" s="938"/>
      <c r="AE47" s="894"/>
      <c r="AF47" s="894"/>
      <c r="AG47" s="934"/>
      <c r="AH47" s="1014"/>
      <c r="AI47" s="1015" t="s">
        <v>326</v>
      </c>
      <c r="AJ47" s="1015"/>
      <c r="AK47" s="1015"/>
      <c r="AL47" s="1016"/>
      <c r="AM47" s="1823"/>
      <c r="AN47" s="990" t="s">
        <v>327</v>
      </c>
      <c r="AO47" s="793"/>
      <c r="AP47" s="834"/>
      <c r="AQ47" s="743">
        <f>AQ48 +G48</f>
        <v>20</v>
      </c>
      <c r="AR47" s="745">
        <v>15</v>
      </c>
      <c r="AS47" s="745">
        <f t="shared" si="3"/>
        <v>2</v>
      </c>
      <c r="AT47" s="738"/>
      <c r="AU47" s="757"/>
      <c r="AV47" s="755"/>
      <c r="AW47" s="754"/>
      <c r="AX47" s="738"/>
    </row>
    <row r="48" spans="1:50" ht="16.95" customHeight="1" thickBot="1">
      <c r="A48" s="738"/>
      <c r="B48" s="754"/>
      <c r="C48" s="755"/>
      <c r="D48" s="756"/>
      <c r="E48" s="738"/>
      <c r="F48" s="763">
        <v>1</v>
      </c>
      <c r="G48" s="763">
        <v>20</v>
      </c>
      <c r="H48" s="764">
        <v>0</v>
      </c>
      <c r="I48" s="738"/>
      <c r="J48" s="760"/>
      <c r="K48" s="760"/>
      <c r="L48" s="1017" t="s">
        <v>328</v>
      </c>
      <c r="M48" s="902"/>
      <c r="N48" s="902"/>
      <c r="O48" s="904"/>
      <c r="P48" s="905"/>
      <c r="Q48" s="902"/>
      <c r="R48" s="904" t="s">
        <v>329</v>
      </c>
      <c r="S48" s="902"/>
      <c r="T48" s="902"/>
      <c r="U48" s="966"/>
      <c r="V48" s="967"/>
      <c r="W48" s="902"/>
      <c r="X48" s="902"/>
      <c r="Y48" s="966"/>
      <c r="Z48" s="968"/>
      <c r="AA48" s="902"/>
      <c r="AB48" s="902"/>
      <c r="AC48" s="969"/>
      <c r="AD48" s="970"/>
      <c r="AE48" s="902"/>
      <c r="AF48" s="902"/>
      <c r="AG48" s="902"/>
      <c r="AH48" s="1018"/>
      <c r="AI48" s="1018"/>
      <c r="AJ48" s="1018"/>
      <c r="AK48" s="1018"/>
      <c r="AL48" s="1019"/>
      <c r="AM48" s="1020"/>
      <c r="AN48" s="1021" t="s">
        <v>330</v>
      </c>
      <c r="AO48" s="1022"/>
      <c r="AP48" s="1023"/>
      <c r="AQ48" s="764">
        <v>0</v>
      </c>
      <c r="AR48" s="763">
        <v>20</v>
      </c>
      <c r="AS48" s="763">
        <v>1</v>
      </c>
      <c r="AT48" s="738"/>
      <c r="AU48" s="765"/>
      <c r="AV48" s="755"/>
      <c r="AW48" s="754"/>
      <c r="AX48" s="738"/>
    </row>
    <row r="49" spans="1:50" ht="16.95" customHeight="1">
      <c r="A49" s="738"/>
      <c r="B49" s="766"/>
      <c r="C49" s="766"/>
      <c r="D49" s="766"/>
      <c r="E49" s="766"/>
      <c r="F49" s="767" t="s">
        <v>331</v>
      </c>
      <c r="G49" s="767">
        <v>10</v>
      </c>
      <c r="H49" s="768" t="s">
        <v>332</v>
      </c>
      <c r="I49" s="769"/>
      <c r="J49" s="1024"/>
      <c r="K49" s="1025"/>
      <c r="L49" s="1025"/>
      <c r="M49" s="1026"/>
      <c r="N49" s="1025"/>
      <c r="O49" s="1025"/>
      <c r="P49" s="1025"/>
      <c r="Q49" s="1025"/>
      <c r="R49" s="1025"/>
      <c r="S49" s="1025"/>
      <c r="T49" s="1025"/>
      <c r="U49" s="1027"/>
      <c r="V49" s="1028"/>
      <c r="W49" s="1025"/>
      <c r="X49" s="1025"/>
      <c r="Y49" s="1027"/>
      <c r="Z49" s="1029"/>
      <c r="AA49" s="1025"/>
      <c r="AB49" s="1025"/>
      <c r="AC49" s="1030"/>
      <c r="AD49" s="1031"/>
      <c r="AE49" s="1025"/>
      <c r="AF49" s="1025"/>
      <c r="AG49" s="1025"/>
      <c r="AH49" s="1025"/>
      <c r="AI49" s="1025"/>
      <c r="AJ49" s="1025"/>
      <c r="AK49" s="1025"/>
      <c r="AL49" s="1032"/>
      <c r="AM49" s="1033" t="s">
        <v>333</v>
      </c>
      <c r="AN49" s="1034"/>
      <c r="AO49" s="1035"/>
      <c r="AP49" s="1036"/>
      <c r="AQ49" s="770" t="s">
        <v>332</v>
      </c>
      <c r="AR49" s="767">
        <v>10</v>
      </c>
      <c r="AS49" s="767" t="s">
        <v>331</v>
      </c>
      <c r="AT49" s="766"/>
      <c r="AU49" s="766"/>
      <c r="AV49" s="766"/>
      <c r="AW49" s="766"/>
      <c r="AX49" s="738"/>
    </row>
    <row r="50" spans="1:50" ht="16.95" customHeight="1">
      <c r="A50" s="738"/>
      <c r="B50" s="1824" t="s">
        <v>155</v>
      </c>
      <c r="C50" s="1824"/>
      <c r="D50" s="771"/>
      <c r="E50" s="771"/>
      <c r="F50" s="745" t="s">
        <v>334</v>
      </c>
      <c r="G50" s="745">
        <v>10</v>
      </c>
      <c r="H50" s="772" t="s">
        <v>335</v>
      </c>
      <c r="I50" s="755"/>
      <c r="J50" s="1037" t="s">
        <v>336</v>
      </c>
      <c r="K50" s="992"/>
      <c r="L50" s="992"/>
      <c r="M50" s="996"/>
      <c r="N50" s="1038"/>
      <c r="O50" s="992"/>
      <c r="P50" s="992" t="s">
        <v>337</v>
      </c>
      <c r="Q50" s="992"/>
      <c r="R50" s="992"/>
      <c r="S50" s="992"/>
      <c r="T50" s="992"/>
      <c r="U50" s="1039"/>
      <c r="V50" s="1040"/>
      <c r="W50" s="1041"/>
      <c r="X50" s="1041"/>
      <c r="Y50" s="1039"/>
      <c r="Z50" s="1042"/>
      <c r="AA50" s="1041"/>
      <c r="AB50" s="1041"/>
      <c r="AC50" s="1043"/>
      <c r="AD50" s="1044"/>
      <c r="AE50" s="1041"/>
      <c r="AF50" s="1041" t="s">
        <v>338</v>
      </c>
      <c r="AG50" s="1041"/>
      <c r="AH50" s="1041"/>
      <c r="AI50" s="1041"/>
      <c r="AJ50" s="1041"/>
      <c r="AK50" s="1041"/>
      <c r="AL50" s="999"/>
      <c r="AM50" s="1045" t="s">
        <v>339</v>
      </c>
      <c r="AN50" s="1046"/>
      <c r="AO50" s="1047"/>
      <c r="AP50" s="1048"/>
      <c r="AQ50" s="773" t="s">
        <v>335</v>
      </c>
      <c r="AR50" s="745">
        <v>10</v>
      </c>
      <c r="AS50" s="745" t="s">
        <v>334</v>
      </c>
      <c r="AT50" s="771"/>
      <c r="AU50" s="771"/>
      <c r="AV50" s="771"/>
      <c r="AW50" s="771"/>
      <c r="AX50" s="738"/>
    </row>
    <row r="51" spans="1:50" ht="16.95" customHeight="1" thickBot="1">
      <c r="A51" s="738"/>
      <c r="B51" s="1824"/>
      <c r="C51" s="1824"/>
      <c r="D51" s="771"/>
      <c r="E51" s="771"/>
      <c r="F51" s="763" t="s">
        <v>340</v>
      </c>
      <c r="G51" s="763">
        <v>20</v>
      </c>
      <c r="H51" s="774" t="s">
        <v>341</v>
      </c>
      <c r="I51" s="775"/>
      <c r="J51" s="1049" t="s">
        <v>342</v>
      </c>
      <c r="K51" s="1050"/>
      <c r="L51" s="1050"/>
      <c r="M51" s="1051"/>
      <c r="N51" s="1050" t="s">
        <v>343</v>
      </c>
      <c r="O51" s="1050"/>
      <c r="P51" s="1050"/>
      <c r="Q51" s="1050"/>
      <c r="R51" s="1050"/>
      <c r="S51" s="1050"/>
      <c r="T51" s="1050"/>
      <c r="U51" s="1052"/>
      <c r="V51" s="1053"/>
      <c r="W51" s="1050"/>
      <c r="X51" s="1050"/>
      <c r="Y51" s="1052"/>
      <c r="Z51" s="1054"/>
      <c r="AA51" s="1050"/>
      <c r="AB51" s="1050"/>
      <c r="AC51" s="1055"/>
      <c r="AD51" s="1056"/>
      <c r="AE51" s="1050"/>
      <c r="AF51" s="1050" t="s">
        <v>258</v>
      </c>
      <c r="AG51" s="1050"/>
      <c r="AH51" s="1050"/>
      <c r="AI51" s="1050"/>
      <c r="AJ51" s="1050"/>
      <c r="AK51" s="1050"/>
      <c r="AL51" s="1050"/>
      <c r="AM51" s="1057"/>
      <c r="AN51" s="1057"/>
      <c r="AO51" s="1058"/>
      <c r="AP51" s="1048"/>
      <c r="AQ51" s="776" t="s">
        <v>341</v>
      </c>
      <c r="AR51" s="763">
        <v>20</v>
      </c>
      <c r="AS51" s="763" t="s">
        <v>340</v>
      </c>
      <c r="AT51" s="771"/>
      <c r="AU51" s="771"/>
      <c r="AV51" s="771"/>
      <c r="AW51" s="771"/>
      <c r="AX51" s="738"/>
    </row>
    <row r="52" spans="1:50" ht="21" customHeight="1" thickTop="1">
      <c r="A52" s="777"/>
      <c r="B52" s="1817" t="s">
        <v>344</v>
      </c>
      <c r="C52" s="1818"/>
      <c r="D52" s="1819"/>
      <c r="E52" s="777"/>
      <c r="F52" s="777"/>
      <c r="G52" s="777"/>
      <c r="H52" s="778"/>
      <c r="I52" s="779">
        <v>0</v>
      </c>
      <c r="J52" s="1059">
        <f t="shared" ref="J52:AO53" si="4">I52+10</f>
        <v>10</v>
      </c>
      <c r="K52" s="1059">
        <f t="shared" si="4"/>
        <v>20</v>
      </c>
      <c r="L52" s="1059">
        <f t="shared" si="4"/>
        <v>30</v>
      </c>
      <c r="M52" s="1059">
        <f t="shared" si="4"/>
        <v>40</v>
      </c>
      <c r="N52" s="1059">
        <f t="shared" si="4"/>
        <v>50</v>
      </c>
      <c r="O52" s="1059">
        <f t="shared" si="4"/>
        <v>60</v>
      </c>
      <c r="P52" s="1059">
        <f t="shared" si="4"/>
        <v>70</v>
      </c>
      <c r="Q52" s="1059">
        <f t="shared" si="4"/>
        <v>80</v>
      </c>
      <c r="R52" s="1059">
        <f t="shared" si="4"/>
        <v>90</v>
      </c>
      <c r="S52" s="1059">
        <f t="shared" si="4"/>
        <v>100</v>
      </c>
      <c r="T52" s="1059">
        <f t="shared" si="4"/>
        <v>110</v>
      </c>
      <c r="U52" s="1059">
        <f t="shared" si="4"/>
        <v>120</v>
      </c>
      <c r="V52" s="1059">
        <f t="shared" si="4"/>
        <v>130</v>
      </c>
      <c r="W52" s="1059">
        <f t="shared" si="4"/>
        <v>140</v>
      </c>
      <c r="X52" s="1059">
        <f t="shared" si="4"/>
        <v>150</v>
      </c>
      <c r="Y52" s="1059">
        <f t="shared" si="4"/>
        <v>160</v>
      </c>
      <c r="Z52" s="1059">
        <f t="shared" si="4"/>
        <v>170</v>
      </c>
      <c r="AA52" s="1059">
        <f t="shared" si="4"/>
        <v>180</v>
      </c>
      <c r="AB52" s="1059">
        <f t="shared" si="4"/>
        <v>190</v>
      </c>
      <c r="AC52" s="1059">
        <f t="shared" si="4"/>
        <v>200</v>
      </c>
      <c r="AD52" s="1059">
        <f t="shared" si="4"/>
        <v>210</v>
      </c>
      <c r="AE52" s="1059">
        <f t="shared" si="4"/>
        <v>220</v>
      </c>
      <c r="AF52" s="1059">
        <f t="shared" si="4"/>
        <v>230</v>
      </c>
      <c r="AG52" s="1059">
        <f t="shared" si="4"/>
        <v>240</v>
      </c>
      <c r="AH52" s="1059">
        <f t="shared" si="4"/>
        <v>250</v>
      </c>
      <c r="AI52" s="1059">
        <f t="shared" si="4"/>
        <v>260</v>
      </c>
      <c r="AJ52" s="1059">
        <f t="shared" si="4"/>
        <v>270</v>
      </c>
      <c r="AK52" s="1059">
        <f t="shared" si="4"/>
        <v>280</v>
      </c>
      <c r="AL52" s="1059">
        <f t="shared" si="4"/>
        <v>290</v>
      </c>
      <c r="AM52" s="1059">
        <f t="shared" si="4"/>
        <v>300</v>
      </c>
      <c r="AN52" s="1059">
        <f t="shared" si="4"/>
        <v>310</v>
      </c>
      <c r="AO52" s="1059">
        <f t="shared" si="4"/>
        <v>320</v>
      </c>
      <c r="AP52" s="1060"/>
      <c r="AQ52" s="780"/>
      <c r="AR52" s="780"/>
      <c r="AS52" s="780"/>
      <c r="AT52" s="780"/>
      <c r="AU52" s="780"/>
      <c r="AV52" s="780"/>
      <c r="AW52" s="780"/>
      <c r="AX52" s="740"/>
    </row>
    <row r="53" spans="1:50" ht="21" customHeight="1">
      <c r="A53" s="781">
        <v>0</v>
      </c>
      <c r="B53" s="781">
        <f t="shared" ref="B53:AG53" si="5">A53+10</f>
        <v>10</v>
      </c>
      <c r="C53" s="781">
        <f t="shared" si="5"/>
        <v>20</v>
      </c>
      <c r="D53" s="781">
        <f t="shared" si="5"/>
        <v>30</v>
      </c>
      <c r="E53" s="781">
        <f t="shared" si="5"/>
        <v>40</v>
      </c>
      <c r="F53" s="781">
        <f t="shared" si="5"/>
        <v>50</v>
      </c>
      <c r="G53" s="781">
        <f t="shared" si="5"/>
        <v>60</v>
      </c>
      <c r="H53" s="781">
        <f t="shared" si="5"/>
        <v>70</v>
      </c>
      <c r="I53" s="781">
        <f t="shared" si="5"/>
        <v>80</v>
      </c>
      <c r="J53" s="1061">
        <f t="shared" si="5"/>
        <v>90</v>
      </c>
      <c r="K53" s="1061">
        <f t="shared" si="5"/>
        <v>100</v>
      </c>
      <c r="L53" s="1061">
        <f t="shared" si="5"/>
        <v>110</v>
      </c>
      <c r="M53" s="1061">
        <f t="shared" si="5"/>
        <v>120</v>
      </c>
      <c r="N53" s="1061">
        <f t="shared" si="5"/>
        <v>130</v>
      </c>
      <c r="O53" s="1061">
        <f t="shared" si="5"/>
        <v>140</v>
      </c>
      <c r="P53" s="1061">
        <f t="shared" si="5"/>
        <v>150</v>
      </c>
      <c r="Q53" s="1061">
        <f t="shared" si="5"/>
        <v>160</v>
      </c>
      <c r="R53" s="1061">
        <f t="shared" si="5"/>
        <v>170</v>
      </c>
      <c r="S53" s="1061">
        <f t="shared" si="5"/>
        <v>180</v>
      </c>
      <c r="T53" s="1061">
        <f t="shared" si="5"/>
        <v>190</v>
      </c>
      <c r="U53" s="1061">
        <f t="shared" si="5"/>
        <v>200</v>
      </c>
      <c r="V53" s="1061">
        <f t="shared" si="5"/>
        <v>210</v>
      </c>
      <c r="W53" s="1061">
        <f t="shared" si="5"/>
        <v>220</v>
      </c>
      <c r="X53" s="1061">
        <f t="shared" si="5"/>
        <v>230</v>
      </c>
      <c r="Y53" s="1061">
        <f t="shared" si="5"/>
        <v>240</v>
      </c>
      <c r="Z53" s="1061">
        <f t="shared" si="5"/>
        <v>250</v>
      </c>
      <c r="AA53" s="1061">
        <f t="shared" si="5"/>
        <v>260</v>
      </c>
      <c r="AB53" s="1061">
        <f t="shared" si="5"/>
        <v>270</v>
      </c>
      <c r="AC53" s="1061">
        <f t="shared" si="5"/>
        <v>280</v>
      </c>
      <c r="AD53" s="1061">
        <f t="shared" si="5"/>
        <v>290</v>
      </c>
      <c r="AE53" s="1061">
        <f t="shared" si="5"/>
        <v>300</v>
      </c>
      <c r="AF53" s="1061">
        <f t="shared" si="5"/>
        <v>310</v>
      </c>
      <c r="AG53" s="1061">
        <f t="shared" si="5"/>
        <v>320</v>
      </c>
      <c r="AH53" s="1061">
        <f t="shared" si="4"/>
        <v>330</v>
      </c>
      <c r="AI53" s="1061">
        <f t="shared" si="4"/>
        <v>340</v>
      </c>
      <c r="AJ53" s="1061">
        <f t="shared" si="4"/>
        <v>350</v>
      </c>
      <c r="AK53" s="1061">
        <f t="shared" si="4"/>
        <v>360</v>
      </c>
      <c r="AL53" s="1061">
        <f t="shared" si="4"/>
        <v>370</v>
      </c>
      <c r="AM53" s="1061">
        <f t="shared" si="4"/>
        <v>380</v>
      </c>
      <c r="AN53" s="1061">
        <f t="shared" si="4"/>
        <v>390</v>
      </c>
      <c r="AO53" s="1061">
        <f t="shared" si="4"/>
        <v>400</v>
      </c>
      <c r="AP53" s="1061">
        <f t="shared" ref="AP53:AW53" si="6">AO53+10</f>
        <v>410</v>
      </c>
      <c r="AQ53" s="781">
        <f t="shared" si="6"/>
        <v>420</v>
      </c>
      <c r="AR53" s="781">
        <f t="shared" si="6"/>
        <v>430</v>
      </c>
      <c r="AS53" s="781">
        <f t="shared" si="6"/>
        <v>440</v>
      </c>
      <c r="AT53" s="781">
        <f t="shared" si="6"/>
        <v>450</v>
      </c>
      <c r="AU53" s="781">
        <f t="shared" si="6"/>
        <v>460</v>
      </c>
      <c r="AV53" s="781">
        <f t="shared" si="6"/>
        <v>470</v>
      </c>
      <c r="AW53" s="781">
        <f t="shared" si="6"/>
        <v>480</v>
      </c>
      <c r="AX53" s="740"/>
    </row>
    <row r="54" spans="1:50" ht="16.95" customHeight="1">
      <c r="A54" s="782"/>
      <c r="B54" s="782"/>
      <c r="C54" s="782"/>
      <c r="D54" s="782"/>
      <c r="E54" s="782"/>
      <c r="F54" s="783"/>
      <c r="G54" s="784"/>
      <c r="H54" s="784"/>
      <c r="I54" s="782"/>
      <c r="J54" s="1062"/>
      <c r="K54" s="1062"/>
      <c r="L54" s="1062"/>
      <c r="M54" s="1062"/>
      <c r="N54" s="1062"/>
      <c r="O54" s="1062"/>
      <c r="P54" s="1062"/>
      <c r="Q54" s="1062"/>
      <c r="R54" s="1062"/>
      <c r="S54" s="1062"/>
      <c r="T54" s="1062"/>
      <c r="U54" s="1062"/>
      <c r="V54" s="1062"/>
      <c r="W54" s="1062"/>
      <c r="X54" s="1062"/>
      <c r="Y54" s="1062"/>
      <c r="Z54" s="1062"/>
      <c r="AA54" s="1062"/>
      <c r="AB54" s="1062"/>
      <c r="AC54" s="1062"/>
      <c r="AD54" s="1062"/>
      <c r="AE54" s="1062"/>
      <c r="AF54" s="1062"/>
      <c r="AG54" s="1062"/>
      <c r="AH54" s="1062"/>
      <c r="AI54" s="1062"/>
      <c r="AJ54" s="1062"/>
      <c r="AK54" s="1062"/>
      <c r="AL54" s="1062"/>
      <c r="AM54" s="1062"/>
      <c r="AN54" s="1062"/>
      <c r="AO54" s="1062"/>
      <c r="AP54" s="1062"/>
      <c r="AQ54" s="783"/>
      <c r="AR54" s="784"/>
      <c r="AS54" s="784"/>
      <c r="AT54" s="782"/>
      <c r="AU54" s="782"/>
      <c r="AV54" s="782"/>
      <c r="AW54" s="782"/>
      <c r="AX54" s="738"/>
    </row>
  </sheetData>
  <mergeCells count="6">
    <mergeCell ref="B52:D52"/>
    <mergeCell ref="C26:D39"/>
    <mergeCell ref="AU26:AV38"/>
    <mergeCell ref="AM42:AM44"/>
    <mergeCell ref="AM45:AM47"/>
    <mergeCell ref="B50:C51"/>
  </mergeCells>
  <pageMargins left="0.5" right="0.5" top="0.75" bottom="0.5" header="0.3" footer="0.3"/>
  <pageSetup scale="75" orientation="portrait" r:id="rId1"/>
  <headerFooter>
    <oddHeader>&amp;L&amp;"-,Regular"&amp;14Energy Efficient Building Design&amp;C&amp;"-,Regular"&amp;14College of Architecture&amp;R&amp;"-,Regular"&amp;14Illinois Institute of Technology, Chicago</oddHeader>
    <oddFooter>&amp;L&amp;"-,Regular"&amp;14Instructor: Varkie C. Thomas, Ph.D., P.E.&amp;C&amp;"-,Regular"&amp;14Skidmore, Owings &amp; Merrill, LLP&amp;R&amp;"-,Regular"&amp;14ARCH-551 (Fall)  ARCH-552 (Spring)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Z38"/>
  <sheetViews>
    <sheetView zoomScale="70" zoomScaleNormal="70" workbookViewId="0">
      <selection activeCell="AR14" activeCellId="4" sqref="AR6 AR7 AR10 AR11 AR14"/>
    </sheetView>
  </sheetViews>
  <sheetFormatPr defaultRowHeight="16.05" customHeight="1"/>
  <cols>
    <col min="1" max="1" width="2.69921875" customWidth="1"/>
    <col min="2" max="2" width="6.69921875" style="711" customWidth="1"/>
    <col min="3" max="3" width="6.69921875" style="721" customWidth="1"/>
    <col min="4" max="4" width="2.69921875" customWidth="1"/>
    <col min="5" max="15" width="8.19921875" customWidth="1"/>
    <col min="16" max="16" width="2.69921875" customWidth="1"/>
    <col min="17" max="20" width="6.19921875" customWidth="1"/>
    <col min="21" max="22" width="2.69921875" customWidth="1"/>
    <col min="23" max="25" width="8.69921875" customWidth="1"/>
    <col min="26" max="33" width="9.296875" customWidth="1"/>
    <col min="34" max="34" width="2.69921875" customWidth="1"/>
    <col min="35" max="39" width="6.19921875" customWidth="1"/>
    <col min="40" max="41" width="2.69921875" customWidth="1"/>
    <col min="42" max="45" width="5.69921875" customWidth="1"/>
    <col min="46" max="46" width="2.69921875" customWidth="1"/>
    <col min="47" max="50" width="8.19921875" style="639" customWidth="1"/>
    <col min="51" max="52" width="8.19921875" customWidth="1"/>
    <col min="53" max="53" width="8.19921875" style="680" customWidth="1"/>
    <col min="54" max="59" width="8.69921875" customWidth="1"/>
    <col min="60" max="61" width="2.69921875" customWidth="1"/>
    <col min="62" max="65" width="5.69921875" customWidth="1"/>
    <col min="66" max="66" width="2.69921875" customWidth="1"/>
    <col min="67" max="70" width="8.19921875" style="639" customWidth="1"/>
    <col min="71" max="73" width="8.19921875" customWidth="1"/>
    <col min="74" max="79" width="8.69921875" customWidth="1"/>
    <col min="80" max="81" width="2.69921875" customWidth="1"/>
    <col min="82" max="85" width="5.69921875" customWidth="1"/>
    <col min="86" max="86" width="2.69921875" customWidth="1"/>
    <col min="87" max="91" width="6.69921875" style="639" customWidth="1"/>
    <col min="92" max="93" width="8.19921875" customWidth="1"/>
    <col min="94" max="94" width="2.69921875" customWidth="1"/>
    <col min="95" max="99" width="6.69921875" style="639" customWidth="1"/>
    <col min="100" max="102" width="8.19921875" customWidth="1"/>
    <col min="103" max="104" width="2.69921875" customWidth="1"/>
  </cols>
  <sheetData>
    <row r="1" spans="1:104" s="677" customFormat="1" ht="16.05" customHeight="1" thickBot="1">
      <c r="A1" s="596">
        <v>2</v>
      </c>
      <c r="B1" s="710">
        <v>6</v>
      </c>
      <c r="C1" s="719">
        <v>6</v>
      </c>
      <c r="D1" s="596">
        <v>2</v>
      </c>
      <c r="E1" s="596">
        <v>7.5</v>
      </c>
      <c r="F1" s="596">
        <v>7.5</v>
      </c>
      <c r="G1" s="596">
        <v>7.5</v>
      </c>
      <c r="H1" s="596">
        <v>7.5</v>
      </c>
      <c r="I1" s="596">
        <v>7.5</v>
      </c>
      <c r="J1" s="596">
        <v>7.5</v>
      </c>
      <c r="K1" s="596">
        <v>7.5</v>
      </c>
      <c r="L1" s="596">
        <v>7.5</v>
      </c>
      <c r="M1" s="596">
        <v>7.5</v>
      </c>
      <c r="N1" s="596">
        <v>7.5</v>
      </c>
      <c r="O1" s="596">
        <v>7.5</v>
      </c>
      <c r="P1" s="596">
        <v>2</v>
      </c>
      <c r="Q1" s="596">
        <v>5.5</v>
      </c>
      <c r="R1" s="596">
        <v>5.5</v>
      </c>
      <c r="S1" s="596">
        <v>5.5</v>
      </c>
      <c r="T1" s="596">
        <v>5.5</v>
      </c>
      <c r="U1" s="597">
        <v>2</v>
      </c>
      <c r="V1" s="596">
        <v>2</v>
      </c>
      <c r="W1" s="596">
        <v>8</v>
      </c>
      <c r="X1" s="596">
        <v>8</v>
      </c>
      <c r="Y1" s="596">
        <v>8</v>
      </c>
      <c r="Z1" s="596">
        <v>8.6</v>
      </c>
      <c r="AA1" s="596">
        <v>8.6</v>
      </c>
      <c r="AB1" s="596">
        <v>8.6</v>
      </c>
      <c r="AC1" s="596">
        <v>8.6</v>
      </c>
      <c r="AD1" s="596">
        <v>8.6</v>
      </c>
      <c r="AE1" s="596">
        <v>8.6</v>
      </c>
      <c r="AF1" s="596">
        <v>8.6</v>
      </c>
      <c r="AG1" s="596">
        <v>8.6</v>
      </c>
      <c r="AH1" s="597">
        <v>2</v>
      </c>
      <c r="AI1" s="596">
        <v>5.5</v>
      </c>
      <c r="AJ1" s="596">
        <v>5.5</v>
      </c>
      <c r="AK1" s="596">
        <v>5.5</v>
      </c>
      <c r="AL1" s="596">
        <v>5.5</v>
      </c>
      <c r="AM1" s="596">
        <v>5.5</v>
      </c>
      <c r="AN1" s="596">
        <v>2</v>
      </c>
      <c r="AO1" s="596">
        <v>2</v>
      </c>
      <c r="AP1" s="596">
        <v>5</v>
      </c>
      <c r="AQ1" s="596">
        <v>5</v>
      </c>
      <c r="AR1" s="596">
        <v>5</v>
      </c>
      <c r="AS1" s="596">
        <v>5</v>
      </c>
      <c r="AT1" s="596">
        <v>2</v>
      </c>
      <c r="AU1" s="596">
        <v>7.5</v>
      </c>
      <c r="AV1" s="596">
        <v>7.5</v>
      </c>
      <c r="AW1" s="596">
        <v>7.5</v>
      </c>
      <c r="AX1" s="596">
        <v>7.5</v>
      </c>
      <c r="AY1" s="596">
        <v>7.5</v>
      </c>
      <c r="AZ1" s="596">
        <v>7.5</v>
      </c>
      <c r="BA1" s="678">
        <v>8</v>
      </c>
      <c r="BB1" s="596">
        <v>8</v>
      </c>
      <c r="BC1" s="596">
        <v>8</v>
      </c>
      <c r="BD1" s="596">
        <v>8</v>
      </c>
      <c r="BE1" s="596">
        <v>8</v>
      </c>
      <c r="BF1" s="596">
        <v>8</v>
      </c>
      <c r="BG1" s="596">
        <v>8</v>
      </c>
      <c r="BH1" s="597">
        <v>2</v>
      </c>
      <c r="BI1" s="597">
        <v>2</v>
      </c>
      <c r="BJ1" s="596">
        <v>5</v>
      </c>
      <c r="BK1" s="596">
        <v>5</v>
      </c>
      <c r="BL1" s="596">
        <v>5</v>
      </c>
      <c r="BM1" s="596">
        <v>5</v>
      </c>
      <c r="BN1" s="596"/>
      <c r="BO1" s="596">
        <v>7.5</v>
      </c>
      <c r="BP1" s="596">
        <v>7.5</v>
      </c>
      <c r="BQ1" s="596">
        <v>7.5</v>
      </c>
      <c r="BR1" s="596">
        <v>7.5</v>
      </c>
      <c r="BS1" s="596">
        <v>7.5</v>
      </c>
      <c r="BT1" s="596">
        <v>7.5</v>
      </c>
      <c r="BU1" s="596">
        <v>8</v>
      </c>
      <c r="BV1" s="596">
        <v>8</v>
      </c>
      <c r="BW1" s="596">
        <v>8</v>
      </c>
      <c r="BX1" s="596">
        <v>8</v>
      </c>
      <c r="BY1" s="596">
        <v>8</v>
      </c>
      <c r="BZ1" s="596">
        <v>8</v>
      </c>
      <c r="CA1" s="596">
        <v>8</v>
      </c>
      <c r="CB1" s="596">
        <v>2</v>
      </c>
      <c r="CC1" s="596">
        <v>2</v>
      </c>
      <c r="CD1" s="596">
        <v>5</v>
      </c>
      <c r="CE1" s="596">
        <v>5</v>
      </c>
      <c r="CF1" s="596">
        <v>5</v>
      </c>
      <c r="CG1" s="596">
        <v>5</v>
      </c>
      <c r="CH1" s="596">
        <v>2</v>
      </c>
      <c r="CI1" s="596">
        <v>6</v>
      </c>
      <c r="CJ1" s="596">
        <v>6</v>
      </c>
      <c r="CK1" s="596">
        <v>6</v>
      </c>
      <c r="CL1" s="596">
        <v>6</v>
      </c>
      <c r="CM1" s="596">
        <v>6</v>
      </c>
      <c r="CN1" s="596">
        <v>7.5</v>
      </c>
      <c r="CO1" s="596">
        <v>7.5</v>
      </c>
      <c r="CP1" s="596">
        <v>2</v>
      </c>
      <c r="CQ1" s="596">
        <v>6</v>
      </c>
      <c r="CR1" s="596">
        <v>6</v>
      </c>
      <c r="CS1" s="596">
        <v>6</v>
      </c>
      <c r="CT1" s="596">
        <v>6</v>
      </c>
      <c r="CU1" s="596">
        <v>6</v>
      </c>
      <c r="CV1" s="596">
        <v>7.5</v>
      </c>
      <c r="CW1" s="596">
        <v>7.5</v>
      </c>
      <c r="CX1" s="596">
        <v>7.5</v>
      </c>
      <c r="CY1" s="596"/>
      <c r="CZ1" s="596"/>
    </row>
    <row r="2" spans="1:104" ht="16.05" customHeight="1" thickTop="1" thickBot="1">
      <c r="A2" s="250"/>
      <c r="B2" s="722" t="s">
        <v>229</v>
      </c>
      <c r="C2" s="732" t="s">
        <v>251</v>
      </c>
      <c r="D2" s="250"/>
      <c r="F2" s="731" t="s">
        <v>243</v>
      </c>
      <c r="G2" s="573" t="s">
        <v>249</v>
      </c>
      <c r="H2" s="506"/>
      <c r="I2" s="507"/>
      <c r="K2" s="509"/>
      <c r="L2" s="508"/>
      <c r="M2" s="509"/>
      <c r="N2" s="727">
        <v>0.02</v>
      </c>
      <c r="O2" s="506"/>
      <c r="P2" s="250"/>
      <c r="Q2" s="234" t="s">
        <v>119</v>
      </c>
      <c r="R2" s="510" t="s">
        <v>164</v>
      </c>
      <c r="S2" s="510" t="s">
        <v>165</v>
      </c>
      <c r="T2" s="511" t="s">
        <v>166</v>
      </c>
      <c r="U2" s="410"/>
      <c r="V2" s="495"/>
      <c r="W2" s="1804" t="s">
        <v>96</v>
      </c>
      <c r="X2" s="1804"/>
      <c r="Y2" s="1804"/>
      <c r="Z2" s="1804"/>
      <c r="AA2" s="1804"/>
      <c r="AB2" s="1804"/>
      <c r="AC2" s="1804"/>
      <c r="AD2" s="1805" t="s">
        <v>13</v>
      </c>
      <c r="AE2" s="1806"/>
      <c r="AF2" s="512" t="s">
        <v>168</v>
      </c>
      <c r="AG2" s="513"/>
      <c r="AH2" s="273"/>
      <c r="AI2" s="234" t="s">
        <v>119</v>
      </c>
      <c r="AJ2" s="514" t="s">
        <v>118</v>
      </c>
      <c r="AK2" s="515" t="s">
        <v>117</v>
      </c>
      <c r="AL2" s="516" t="s">
        <v>173</v>
      </c>
      <c r="AM2" s="517"/>
      <c r="AN2" s="250"/>
      <c r="AO2" s="250"/>
      <c r="AP2" s="234" t="s">
        <v>119</v>
      </c>
      <c r="AQ2" s="235" t="s">
        <v>76</v>
      </c>
      <c r="AR2" s="235" t="s">
        <v>76</v>
      </c>
      <c r="AS2" s="224" t="s">
        <v>139</v>
      </c>
      <c r="AT2" s="247"/>
      <c r="AU2" s="1809" t="s">
        <v>161</v>
      </c>
      <c r="AV2" s="1810"/>
      <c r="AW2" s="1810"/>
      <c r="AX2" s="1810"/>
      <c r="AY2" s="1809" t="s">
        <v>160</v>
      </c>
      <c r="AZ2" s="1810"/>
      <c r="BA2" s="690" t="s">
        <v>238</v>
      </c>
      <c r="BB2" s="599"/>
      <c r="BC2" s="599"/>
      <c r="BD2" s="599"/>
      <c r="BE2" s="599"/>
      <c r="BF2" s="599"/>
      <c r="BG2" s="599"/>
      <c r="BH2" s="253"/>
      <c r="BI2" s="253"/>
      <c r="BJ2" s="234" t="s">
        <v>119</v>
      </c>
      <c r="BK2" s="257" t="s">
        <v>76</v>
      </c>
      <c r="BL2" s="257" t="s">
        <v>76</v>
      </c>
      <c r="BM2" s="224" t="s">
        <v>139</v>
      </c>
      <c r="BN2" s="250"/>
      <c r="BO2" s="1809" t="s">
        <v>163</v>
      </c>
      <c r="BP2" s="1810"/>
      <c r="BQ2" s="1810"/>
      <c r="BR2" s="1810"/>
      <c r="BS2" s="1809" t="s">
        <v>162</v>
      </c>
      <c r="BT2" s="1810"/>
      <c r="BU2" s="690" t="s">
        <v>238</v>
      </c>
      <c r="BV2" s="253"/>
      <c r="BW2" s="253"/>
      <c r="BX2" s="253"/>
      <c r="BY2" s="253"/>
      <c r="BZ2" s="253"/>
      <c r="CA2" s="253"/>
      <c r="CB2" s="250"/>
      <c r="CC2" s="250"/>
      <c r="CD2" s="518" t="str">
        <f t="shared" ref="CD2:CG3" si="0">AP2</f>
        <v>Calc</v>
      </c>
      <c r="CE2" s="519" t="str">
        <f t="shared" si="0"/>
        <v>Floor</v>
      </c>
      <c r="CF2" s="519" t="str">
        <f t="shared" si="0"/>
        <v>Floor</v>
      </c>
      <c r="CG2" s="226" t="str">
        <f t="shared" si="0"/>
        <v>Flr</v>
      </c>
      <c r="CH2" s="250"/>
      <c r="CI2" s="1797" t="s">
        <v>161</v>
      </c>
      <c r="CJ2" s="1798"/>
      <c r="CK2" s="1798"/>
      <c r="CL2" s="1798"/>
      <c r="CM2" s="1798"/>
      <c r="CN2" s="591" t="s">
        <v>229</v>
      </c>
      <c r="CO2" s="592" t="s">
        <v>230</v>
      </c>
      <c r="CP2" s="197"/>
      <c r="CQ2" s="1797" t="s">
        <v>163</v>
      </c>
      <c r="CR2" s="1798"/>
      <c r="CS2" s="1798"/>
      <c r="CT2" s="1798"/>
      <c r="CU2" s="1798"/>
      <c r="CV2" s="591" t="s">
        <v>229</v>
      </c>
      <c r="CW2" s="592" t="s">
        <v>232</v>
      </c>
      <c r="CX2" s="606"/>
      <c r="CY2" s="250"/>
    </row>
    <row r="3" spans="1:104" ht="16.05" customHeight="1" thickBot="1">
      <c r="A3" s="250"/>
      <c r="B3" s="725" t="s">
        <v>241</v>
      </c>
      <c r="C3" s="737">
        <f>N2</f>
        <v>0.02</v>
      </c>
      <c r="D3" s="250"/>
      <c r="E3" s="447" t="s">
        <v>245</v>
      </c>
      <c r="F3" s="250"/>
      <c r="G3" s="506"/>
      <c r="H3" t="s">
        <v>244</v>
      </c>
      <c r="K3" s="507" t="s">
        <v>157</v>
      </c>
      <c r="L3" s="736">
        <v>0.65</v>
      </c>
      <c r="M3" s="573" t="s">
        <v>246</v>
      </c>
      <c r="N3" s="718">
        <v>7.0999999999999994E-2</v>
      </c>
      <c r="P3" s="520"/>
      <c r="Q3" s="236" t="s">
        <v>115</v>
      </c>
      <c r="R3" s="521" t="s">
        <v>167</v>
      </c>
      <c r="S3" s="521" t="s">
        <v>167</v>
      </c>
      <c r="T3" s="522" t="s">
        <v>167</v>
      </c>
      <c r="U3" s="411"/>
      <c r="V3" s="495"/>
      <c r="W3" s="1804"/>
      <c r="X3" s="1804"/>
      <c r="Y3" s="1804"/>
      <c r="Z3" s="1804"/>
      <c r="AA3" s="1804"/>
      <c r="AB3" s="1804"/>
      <c r="AC3" s="1804"/>
      <c r="AD3" s="1807"/>
      <c r="AE3" s="1808"/>
      <c r="AF3" s="1801" t="s">
        <v>97</v>
      </c>
      <c r="AG3" s="1802"/>
      <c r="AH3" s="274"/>
      <c r="AI3" s="236" t="s">
        <v>115</v>
      </c>
      <c r="AJ3" s="521" t="s">
        <v>191</v>
      </c>
      <c r="AK3" s="523" t="s">
        <v>116</v>
      </c>
      <c r="AL3" s="524" t="s">
        <v>14</v>
      </c>
      <c r="AM3" s="525" t="s">
        <v>15</v>
      </c>
      <c r="AN3" s="250"/>
      <c r="AO3" s="250"/>
      <c r="AP3" s="236" t="s">
        <v>115</v>
      </c>
      <c r="AQ3" s="237" t="s">
        <v>152</v>
      </c>
      <c r="AR3" s="237" t="s">
        <v>153</v>
      </c>
      <c r="AS3" s="225" t="s">
        <v>154</v>
      </c>
      <c r="AT3" s="248"/>
      <c r="AU3" s="1811"/>
      <c r="AV3" s="1812"/>
      <c r="AW3" s="1812"/>
      <c r="AX3" s="1812"/>
      <c r="AY3" s="1811"/>
      <c r="AZ3" s="1812"/>
      <c r="BA3" s="691" t="s">
        <v>237</v>
      </c>
      <c r="BB3" s="599"/>
      <c r="BC3" s="599"/>
      <c r="BD3" s="599"/>
      <c r="BE3" s="599"/>
      <c r="BF3" s="599"/>
      <c r="BG3" s="599"/>
      <c r="BH3" s="253"/>
      <c r="BI3" s="253"/>
      <c r="BJ3" s="236" t="s">
        <v>115</v>
      </c>
      <c r="BK3" s="258" t="s">
        <v>152</v>
      </c>
      <c r="BL3" s="258" t="s">
        <v>153</v>
      </c>
      <c r="BM3" s="225" t="s">
        <v>154</v>
      </c>
      <c r="BN3" s="250"/>
      <c r="BO3" s="1811"/>
      <c r="BP3" s="1812"/>
      <c r="BQ3" s="1812"/>
      <c r="BR3" s="1812"/>
      <c r="BS3" s="1811"/>
      <c r="BT3" s="1812"/>
      <c r="BU3" s="691" t="s">
        <v>239</v>
      </c>
      <c r="BV3" s="253"/>
      <c r="BW3" s="253"/>
      <c r="BX3" s="253"/>
      <c r="BY3" s="253"/>
      <c r="BZ3" s="253"/>
      <c r="CA3" s="253"/>
      <c r="CB3" s="250"/>
      <c r="CC3" s="250"/>
      <c r="CD3" s="526" t="str">
        <f t="shared" si="0"/>
        <v>ID #</v>
      </c>
      <c r="CE3" s="527" t="str">
        <f t="shared" si="0"/>
        <v>Lvl #</v>
      </c>
      <c r="CF3" s="527" t="str">
        <f t="shared" si="0"/>
        <v>Hgt</v>
      </c>
      <c r="CG3" s="227" t="str">
        <f t="shared" si="0"/>
        <v>Lk-A</v>
      </c>
      <c r="CH3" s="250"/>
      <c r="CI3" s="1799"/>
      <c r="CJ3" s="1800"/>
      <c r="CK3" s="1800"/>
      <c r="CL3" s="1800"/>
      <c r="CM3" s="1800"/>
      <c r="CN3" s="593" t="s">
        <v>197</v>
      </c>
      <c r="CO3" s="594" t="s">
        <v>233</v>
      </c>
      <c r="CP3" s="197"/>
      <c r="CQ3" s="1799"/>
      <c r="CR3" s="1800"/>
      <c r="CS3" s="1800"/>
      <c r="CT3" s="1800"/>
      <c r="CU3" s="1800"/>
      <c r="CV3" s="593" t="s">
        <v>225</v>
      </c>
      <c r="CW3" s="594" t="s">
        <v>233</v>
      </c>
      <c r="CX3" s="607"/>
      <c r="CY3" s="250"/>
    </row>
    <row r="4" spans="1:104" ht="16.05" customHeight="1" thickBot="1">
      <c r="A4" s="250"/>
      <c r="B4" s="723" t="s">
        <v>250</v>
      </c>
      <c r="C4" s="730" t="s">
        <v>247</v>
      </c>
      <c r="D4" s="250"/>
      <c r="E4" s="712" t="s">
        <v>194</v>
      </c>
      <c r="F4" s="713"/>
      <c r="G4" s="536"/>
      <c r="H4" s="536"/>
      <c r="I4" s="714" t="s">
        <v>179</v>
      </c>
      <c r="J4" s="536"/>
      <c r="K4" s="536"/>
      <c r="L4" s="536"/>
      <c r="M4" s="536"/>
      <c r="N4" s="536"/>
      <c r="O4" s="537"/>
      <c r="P4" s="250"/>
      <c r="Q4" s="250"/>
      <c r="R4" s="250"/>
      <c r="S4" s="250"/>
      <c r="T4" s="250"/>
      <c r="U4" s="412"/>
      <c r="V4" s="495"/>
      <c r="W4" s="250"/>
      <c r="X4" s="250"/>
      <c r="Y4" s="250"/>
      <c r="Z4" s="494"/>
      <c r="AA4" s="250"/>
      <c r="AB4" s="250"/>
      <c r="AC4" s="250"/>
      <c r="AD4" s="250"/>
      <c r="AE4" s="250"/>
      <c r="AF4" s="250"/>
      <c r="AG4" s="250"/>
      <c r="AH4" s="197"/>
      <c r="AI4" s="528"/>
      <c r="AJ4" s="496"/>
      <c r="AK4" s="497"/>
      <c r="AL4" s="495"/>
      <c r="AM4" s="495"/>
      <c r="AN4" s="250"/>
      <c r="AO4" s="250"/>
      <c r="AP4" s="498"/>
      <c r="AQ4" s="247"/>
      <c r="AR4" s="247"/>
      <c r="AS4" s="499"/>
      <c r="AT4" s="247"/>
      <c r="AU4" s="706"/>
      <c r="AV4" s="707"/>
      <c r="AW4" s="707"/>
      <c r="AX4" s="708"/>
      <c r="AY4" s="500"/>
      <c r="AZ4" s="501"/>
      <c r="BA4" s="702" t="s">
        <v>230</v>
      </c>
      <c r="BB4" s="501"/>
      <c r="BC4" s="501"/>
      <c r="BD4" s="501"/>
      <c r="BE4" s="501"/>
      <c r="BF4" s="501"/>
      <c r="BG4" s="501"/>
      <c r="BH4" s="254"/>
      <c r="BI4" s="254"/>
      <c r="BJ4" s="492"/>
      <c r="BK4" s="493"/>
      <c r="BL4" s="493"/>
      <c r="BM4" s="492"/>
      <c r="BN4" s="250"/>
      <c r="BO4" s="640"/>
      <c r="BP4" s="640"/>
      <c r="BQ4" s="640"/>
      <c r="BR4" s="640"/>
      <c r="BS4" s="250"/>
      <c r="BT4" s="502"/>
      <c r="BU4" s="702" t="s">
        <v>232</v>
      </c>
      <c r="BV4" s="601"/>
      <c r="BW4" s="601"/>
      <c r="BX4" s="601"/>
      <c r="BY4" s="601"/>
      <c r="BZ4" s="601"/>
      <c r="CA4" s="601"/>
      <c r="CB4" s="250"/>
      <c r="CC4" s="250"/>
      <c r="CD4" s="529"/>
      <c r="CE4" s="530"/>
      <c r="CF4" s="530"/>
      <c r="CG4" s="531"/>
      <c r="CH4" s="250"/>
      <c r="CI4" s="610"/>
      <c r="CJ4" s="610"/>
      <c r="CK4" s="610"/>
      <c r="CL4" s="611"/>
      <c r="CM4" s="611"/>
      <c r="CN4" s="505"/>
      <c r="CO4" s="505"/>
      <c r="CP4" s="250"/>
      <c r="CQ4" s="640"/>
      <c r="CR4" s="640"/>
      <c r="CS4" s="640"/>
      <c r="CT4" s="640"/>
      <c r="CU4" s="640"/>
      <c r="CV4" s="250"/>
      <c r="CW4" s="250"/>
      <c r="CX4" s="250"/>
      <c r="CY4" s="250"/>
    </row>
    <row r="5" spans="1:104" ht="16.05" customHeight="1" thickBot="1">
      <c r="A5" s="250"/>
      <c r="B5" s="729" t="s">
        <v>242</v>
      </c>
      <c r="C5" s="733" t="s">
        <v>248</v>
      </c>
      <c r="D5" s="250"/>
      <c r="E5" s="549"/>
      <c r="F5" s="550"/>
      <c r="G5" s="550"/>
      <c r="H5" s="715"/>
      <c r="I5" s="550"/>
      <c r="J5" s="550"/>
      <c r="K5" s="716" t="s">
        <v>195</v>
      </c>
      <c r="L5" s="550"/>
      <c r="M5" s="550"/>
      <c r="N5" s="550"/>
      <c r="O5" s="717"/>
      <c r="P5" s="270"/>
      <c r="Q5" s="709"/>
      <c r="R5" s="404"/>
      <c r="S5" s="408"/>
      <c r="T5" s="405"/>
      <c r="U5" s="413"/>
      <c r="V5" s="495"/>
      <c r="W5" s="532"/>
      <c r="X5" s="533"/>
      <c r="Y5" s="534" t="s">
        <v>106</v>
      </c>
      <c r="Z5" s="535" t="s">
        <v>102</v>
      </c>
      <c r="AA5" s="536"/>
      <c r="AB5" s="536"/>
      <c r="AC5" s="537"/>
      <c r="AD5" s="538"/>
      <c r="AE5" s="539" t="s">
        <v>12</v>
      </c>
      <c r="AF5" s="540" t="s">
        <v>10</v>
      </c>
      <c r="AG5" s="541" t="s">
        <v>11</v>
      </c>
      <c r="AH5" s="272"/>
      <c r="AI5" s="398" t="s">
        <v>192</v>
      </c>
      <c r="AJ5" s="399"/>
      <c r="AK5" s="369">
        <f>AG17</f>
        <v>8</v>
      </c>
      <c r="AL5" s="401" t="s">
        <v>193</v>
      </c>
      <c r="AM5" s="403">
        <f>AG29</f>
        <v>3</v>
      </c>
      <c r="AN5" s="250"/>
      <c r="AO5" s="250"/>
      <c r="AP5" s="370" t="str">
        <f>AI5</f>
        <v>Section &gt;&gt;</v>
      </c>
      <c r="AQ5" s="238"/>
      <c r="AR5" s="376">
        <f>AK5</f>
        <v>8</v>
      </c>
      <c r="AS5" s="228">
        <f>AG33</f>
        <v>25.2</v>
      </c>
      <c r="AT5" s="249"/>
      <c r="AU5" s="673" t="s">
        <v>148</v>
      </c>
      <c r="AV5" s="664" t="s">
        <v>151</v>
      </c>
      <c r="AW5" s="664" t="s">
        <v>149</v>
      </c>
      <c r="AX5" s="666" t="s">
        <v>150</v>
      </c>
      <c r="AY5" s="542" t="s">
        <v>146</v>
      </c>
      <c r="AZ5" s="681" t="s">
        <v>147</v>
      </c>
      <c r="BA5" s="701" t="s">
        <v>237</v>
      </c>
      <c r="BB5" s="152"/>
      <c r="BC5" s="152"/>
      <c r="BD5" s="152"/>
      <c r="BE5" s="152"/>
      <c r="BF5" s="152"/>
      <c r="BG5" s="152"/>
      <c r="BH5" s="254"/>
      <c r="BI5" s="254"/>
      <c r="BJ5" s="370" t="str">
        <f>AI5</f>
        <v>Section &gt;&gt;</v>
      </c>
      <c r="BK5" s="259"/>
      <c r="BL5" s="490">
        <f>AR5</f>
        <v>8</v>
      </c>
      <c r="BM5" s="491">
        <f>AS5</f>
        <v>25.2</v>
      </c>
      <c r="BN5" s="250"/>
      <c r="BO5" s="641" t="s">
        <v>148</v>
      </c>
      <c r="BP5" s="642" t="s">
        <v>151</v>
      </c>
      <c r="BQ5" s="642" t="s">
        <v>149</v>
      </c>
      <c r="BR5" s="643" t="s">
        <v>150</v>
      </c>
      <c r="BS5" s="542" t="s">
        <v>146</v>
      </c>
      <c r="BT5" s="693" t="s">
        <v>147</v>
      </c>
      <c r="BU5" s="701" t="s">
        <v>239</v>
      </c>
      <c r="BV5" s="478"/>
      <c r="BW5" s="478"/>
      <c r="BX5" s="478"/>
      <c r="BY5" s="478"/>
      <c r="BZ5" s="478"/>
      <c r="CA5" s="478"/>
      <c r="CB5" s="250"/>
      <c r="CC5" s="250"/>
      <c r="CD5" s="543"/>
      <c r="CE5" s="544"/>
      <c r="CF5" s="545">
        <f>AR5</f>
        <v>8</v>
      </c>
      <c r="CG5" s="223">
        <f>AS5</f>
        <v>25.2</v>
      </c>
      <c r="CH5" s="250"/>
      <c r="CI5" s="612" t="s">
        <v>149</v>
      </c>
      <c r="CJ5" s="613" t="s">
        <v>235</v>
      </c>
      <c r="CK5" s="613" t="s">
        <v>236</v>
      </c>
      <c r="CL5" s="416" t="s">
        <v>158</v>
      </c>
      <c r="CM5" s="614" t="s">
        <v>159</v>
      </c>
      <c r="CN5" s="583" t="s">
        <v>204</v>
      </c>
      <c r="CO5" s="584" t="s">
        <v>234</v>
      </c>
      <c r="CP5" s="197"/>
      <c r="CQ5" s="612" t="s">
        <v>149</v>
      </c>
      <c r="CR5" s="613" t="s">
        <v>235</v>
      </c>
      <c r="CS5" s="613" t="s">
        <v>236</v>
      </c>
      <c r="CT5" s="416" t="s">
        <v>158</v>
      </c>
      <c r="CU5" s="614" t="s">
        <v>159</v>
      </c>
      <c r="CV5" s="583" t="s">
        <v>204</v>
      </c>
      <c r="CW5" s="584" t="s">
        <v>231</v>
      </c>
      <c r="CX5" s="608"/>
      <c r="CY5" s="250"/>
    </row>
    <row r="6" spans="1:104" ht="16.05" customHeight="1" thickTop="1">
      <c r="A6" s="250"/>
      <c r="B6" s="728"/>
      <c r="C6" s="726"/>
      <c r="D6" s="250"/>
      <c r="E6" s="546" t="s">
        <v>164</v>
      </c>
      <c r="F6" s="547"/>
      <c r="G6" s="548" t="s">
        <v>88</v>
      </c>
      <c r="H6" s="312">
        <v>1</v>
      </c>
      <c r="I6" s="313" t="s">
        <v>174</v>
      </c>
      <c r="J6" s="313">
        <v>3</v>
      </c>
      <c r="K6" s="313" t="s">
        <v>175</v>
      </c>
      <c r="L6" s="314">
        <v>5</v>
      </c>
      <c r="M6" s="313" t="s">
        <v>176</v>
      </c>
      <c r="N6" s="313">
        <v>7</v>
      </c>
      <c r="O6" s="315">
        <v>8</v>
      </c>
      <c r="P6" s="288"/>
      <c r="Q6" s="230">
        <f>Q7+1</f>
        <v>24</v>
      </c>
      <c r="R6" s="340">
        <v>2</v>
      </c>
      <c r="S6" s="362">
        <v>2</v>
      </c>
      <c r="T6" s="340">
        <v>2</v>
      </c>
      <c r="U6" s="413"/>
      <c r="V6" s="495"/>
      <c r="W6" s="549"/>
      <c r="X6" s="550"/>
      <c r="Y6" s="550" t="s">
        <v>0</v>
      </c>
      <c r="Z6" s="296" t="s">
        <v>240</v>
      </c>
      <c r="AA6" s="297"/>
      <c r="AB6" s="297"/>
      <c r="AC6" s="298"/>
      <c r="AD6" s="550"/>
      <c r="AE6" s="550" t="s">
        <v>94</v>
      </c>
      <c r="AF6" s="304">
        <v>5</v>
      </c>
      <c r="AG6" s="305">
        <v>15</v>
      </c>
      <c r="AH6" s="275"/>
      <c r="AI6" s="230">
        <f>AI7+1</f>
        <v>24</v>
      </c>
      <c r="AJ6" s="340">
        <v>2</v>
      </c>
      <c r="AK6" s="386">
        <f xml:space="preserve"> IF(AJ6&lt;=0, "XX", Z$29 + AA$29 + AB$29 + AC$29 + AD$29 + AE$29 + AF$29+AJ6)</f>
        <v>101</v>
      </c>
      <c r="AL6" s="26">
        <f>IF(AK6="XX", "XX", $Z$11 + Z$34 + AA$34 + AB$34 +AC$34 + AD$34 +AE$34 + AF$34+ AJ6*AG$21)</f>
        <v>1789</v>
      </c>
      <c r="AM6" s="402">
        <f>IF(AK6="XX", "XX", AL6*0.3048)</f>
        <v>545.28719999999998</v>
      </c>
      <c r="AN6" s="250"/>
      <c r="AO6" s="250"/>
      <c r="AP6" s="219">
        <f>AI6</f>
        <v>24</v>
      </c>
      <c r="AQ6" s="239">
        <f>AK6</f>
        <v>101</v>
      </c>
      <c r="AR6" s="785">
        <f>'SMMR-Calcs'!AH13</f>
        <v>1289</v>
      </c>
      <c r="AS6" s="240"/>
      <c r="AT6" s="248"/>
      <c r="AU6" s="644">
        <f>'SMMR-Calcs'!J13</f>
        <v>13.770459961271531</v>
      </c>
      <c r="AV6" s="616">
        <f>'SMMR-Calcs'!K13</f>
        <v>9.9236058059587471</v>
      </c>
      <c r="AW6" s="616">
        <f>'SMMR-Calcs'!L13</f>
        <v>90.411159999999995</v>
      </c>
      <c r="AX6" s="645">
        <f>'SMMR-Calcs'!R13</f>
        <v>6.642131620548436E-2</v>
      </c>
      <c r="AY6" s="215">
        <f>'SMMR-Calcs'!AO13</f>
        <v>722.04240462551456</v>
      </c>
      <c r="AZ6" s="682">
        <f>'SMMR-Calcs'!AP13</f>
        <v>8.5957429122085066E-2</v>
      </c>
      <c r="BA6" s="699">
        <f>IF(AK6="XX", "XX", AY6*1.08*$AF$10/12000)</f>
        <v>174.15662799567411</v>
      </c>
      <c r="BB6" s="600"/>
      <c r="BC6" s="600"/>
      <c r="BD6" s="600"/>
      <c r="BE6" s="600"/>
      <c r="BF6" s="600"/>
      <c r="BG6" s="600"/>
      <c r="BH6" s="254"/>
      <c r="BI6" s="254"/>
      <c r="BJ6" s="255">
        <f t="shared" ref="BJ6:BL7" si="1">AP6</f>
        <v>24</v>
      </c>
      <c r="BK6" s="25">
        <f t="shared" si="1"/>
        <v>101</v>
      </c>
      <c r="BL6" s="382">
        <f t="shared" si="1"/>
        <v>1289</v>
      </c>
      <c r="BM6" s="240"/>
      <c r="BN6" s="250"/>
      <c r="BO6" s="644">
        <f>'WNTR-Calcs'!J13</f>
        <v>13.770459961271531</v>
      </c>
      <c r="BP6" s="616">
        <f>'WNTR-Calcs'!K13</f>
        <v>19.923605805958747</v>
      </c>
      <c r="BQ6" s="616">
        <f>'WNTR-Calcs'!L13</f>
        <v>-20.588839999999998</v>
      </c>
      <c r="BR6" s="645">
        <f>'WNTR-Calcs'!R13</f>
        <v>8.4828727183279357E-2</v>
      </c>
      <c r="BS6" s="215">
        <f>'WNTR-Calcs'!AO13</f>
        <v>-2093.1136341272668</v>
      </c>
      <c r="BT6" s="694">
        <f>'WNTR-Calcs'!AP13</f>
        <v>-0.24918019453896034</v>
      </c>
      <c r="BU6" s="699">
        <f>IF(BK6="XX", "XX", BS6*1.08*$AG$10/1000)</f>
        <v>-18041.551107087296</v>
      </c>
      <c r="BV6" s="602"/>
      <c r="BW6" s="602"/>
      <c r="BX6" s="602"/>
      <c r="BY6" s="602"/>
      <c r="BZ6" s="602"/>
      <c r="CA6" s="602"/>
      <c r="CB6" s="250"/>
      <c r="CC6" s="250"/>
      <c r="CD6" s="219">
        <f t="shared" ref="CD6:CF7" si="2">AP6</f>
        <v>24</v>
      </c>
      <c r="CE6" s="551">
        <f t="shared" si="2"/>
        <v>101</v>
      </c>
      <c r="CF6" s="551">
        <f t="shared" si="2"/>
        <v>1289</v>
      </c>
      <c r="CG6" s="552"/>
      <c r="CH6" s="250"/>
      <c r="CI6" s="615">
        <f>'SMMR-Calcs'!L13</f>
        <v>90.411159999999995</v>
      </c>
      <c r="CJ6" s="616">
        <f>'SMMR-Calcs'!Q13</f>
        <v>15.055407768589667</v>
      </c>
      <c r="CK6" s="616">
        <f>'SMMR-Calcs'!S13</f>
        <v>35.414167299907071</v>
      </c>
      <c r="CL6" s="617">
        <f>IF(AK6="XX", "XX", AY6)</f>
        <v>722.04240462551456</v>
      </c>
      <c r="CM6" s="618">
        <f>IF(AK6="XX",  "XX", CL6*60/CJ6)</f>
        <v>2877.5404122839755</v>
      </c>
      <c r="CN6" s="585">
        <f>'SMMR-Calcs'!AQ13</f>
        <v>12017.711906426026</v>
      </c>
      <c r="CO6" s="586">
        <f>'SMMR-Calcs'!AR13</f>
        <v>2089.8795359480891</v>
      </c>
      <c r="CP6" s="197"/>
      <c r="CQ6" s="615">
        <f>'WNTR-Calcs'!L13</f>
        <v>-20.588839999999998</v>
      </c>
      <c r="CR6" s="620">
        <f>'WNTR-Calcs'!Q13</f>
        <v>11.788459325098898</v>
      </c>
      <c r="CS6" s="620">
        <f>'WNTR-Calcs'!S13</f>
        <v>-4.5618115534514834</v>
      </c>
      <c r="CT6" s="621">
        <f>IF(AR6="XX", "XX", BS6)</f>
        <v>-2093.1136341272668</v>
      </c>
      <c r="CU6" s="622">
        <f>IF(AR6="XX",  "XX", CT6*60/CR6)</f>
        <v>-10653.369925979061</v>
      </c>
      <c r="CV6" s="585">
        <f>'WNTR-Calcs'!AQ13</f>
        <v>209302.8804417903</v>
      </c>
      <c r="CW6" s="586">
        <f>'WNTR-Calcs'!AR13</f>
        <v>-18041.551107087296</v>
      </c>
      <c r="CX6" s="609"/>
      <c r="CY6" s="250"/>
    </row>
    <row r="7" spans="1:104" ht="16.05" customHeight="1" thickBot="1">
      <c r="A7" s="250"/>
      <c r="B7" s="723">
        <v>0</v>
      </c>
      <c r="C7" s="734">
        <f>B7 / ($L$3 * SQRT(2*$C$3/$N$3))</f>
        <v>0</v>
      </c>
      <c r="D7" s="250"/>
      <c r="E7" s="549"/>
      <c r="F7" s="550"/>
      <c r="G7" s="553" t="s">
        <v>120</v>
      </c>
      <c r="H7" s="343" t="s">
        <v>108</v>
      </c>
      <c r="I7" s="344" t="s">
        <v>107</v>
      </c>
      <c r="J7" s="344" t="s">
        <v>109</v>
      </c>
      <c r="K7" s="344" t="s">
        <v>110</v>
      </c>
      <c r="L7" s="345" t="s">
        <v>114</v>
      </c>
      <c r="M7" s="344" t="s">
        <v>111</v>
      </c>
      <c r="N7" s="344" t="s">
        <v>112</v>
      </c>
      <c r="O7" s="346" t="s">
        <v>113</v>
      </c>
      <c r="P7" s="288"/>
      <c r="Q7" s="231">
        <f>Q9+1</f>
        <v>23</v>
      </c>
      <c r="R7" s="341">
        <v>1</v>
      </c>
      <c r="S7" s="363">
        <v>1</v>
      </c>
      <c r="T7" s="341">
        <v>1</v>
      </c>
      <c r="U7" s="414"/>
      <c r="V7" s="495"/>
      <c r="W7" s="549"/>
      <c r="X7" s="550"/>
      <c r="Y7" s="550" t="s">
        <v>82</v>
      </c>
      <c r="Z7" s="299" t="s">
        <v>103</v>
      </c>
      <c r="AA7" s="193"/>
      <c r="AB7" s="193"/>
      <c r="AC7" s="300"/>
      <c r="AD7" s="550"/>
      <c r="AE7" s="550" t="s">
        <v>95</v>
      </c>
      <c r="AF7" s="306">
        <v>10</v>
      </c>
      <c r="AG7" s="307">
        <v>20</v>
      </c>
      <c r="AH7" s="275"/>
      <c r="AI7" s="231">
        <f>AI9+1</f>
        <v>23</v>
      </c>
      <c r="AJ7" s="341">
        <v>1</v>
      </c>
      <c r="AK7" s="387">
        <f xml:space="preserve"> IF(AJ7&lt;=0, "XX", Z$29 + AA$29 + AB$29 + AC$29 + AD$29 + AE$29 + AF$29+AJ7)</f>
        <v>100</v>
      </c>
      <c r="AL7" s="393">
        <f>IF(AK7="XX", "XX", $Z$11 + Z$34 + AA$34 + AB$34 +AC$34 + AD$34 +AE$34 + AF$34+ AJ7*AG$21)</f>
        <v>1774</v>
      </c>
      <c r="AM7" s="394">
        <f>IF(AK7="XX", "XX", AL7*0.3048)</f>
        <v>540.71519999999998</v>
      </c>
      <c r="AN7" s="250"/>
      <c r="AO7" s="250"/>
      <c r="AP7" s="220">
        <f>AI7</f>
        <v>23</v>
      </c>
      <c r="AQ7" s="239">
        <f>AK7</f>
        <v>100</v>
      </c>
      <c r="AR7" s="786">
        <f>'SMMR-Calcs'!AH14</f>
        <v>1274</v>
      </c>
      <c r="AS7" s="242"/>
      <c r="AT7" s="248"/>
      <c r="AU7" s="674">
        <f>'SMMR-Calcs'!J14</f>
        <v>13.778018453112617</v>
      </c>
      <c r="AV7" s="620">
        <f>'SMMR-Calcs'!K14</f>
        <v>9.8663101604278083</v>
      </c>
      <c r="AW7" s="620">
        <f>'SMMR-Calcs'!L14</f>
        <v>90.464560000000006</v>
      </c>
      <c r="AX7" s="655">
        <f>'SMMR-Calcs'!R14</f>
        <v>6.6449016819265377E-2</v>
      </c>
      <c r="AY7" s="216">
        <f>'SMMR-Calcs'!AO14</f>
        <v>712.59131822679126</v>
      </c>
      <c r="AZ7" s="683">
        <f>'SMMR-Calcs'!AP14</f>
        <v>8.483229978890372E-2</v>
      </c>
      <c r="BA7" s="699">
        <f>IF(AK7="XX", "XX", AY7*1.08*$AF$10/12000)</f>
        <v>171.87702595630208</v>
      </c>
      <c r="BB7" s="600"/>
      <c r="BC7" s="600"/>
      <c r="BD7" s="600"/>
      <c r="BE7" s="600"/>
      <c r="BF7" s="600"/>
      <c r="BG7" s="600"/>
      <c r="BH7" s="254"/>
      <c r="BI7" s="254"/>
      <c r="BJ7" s="219">
        <f t="shared" si="1"/>
        <v>23</v>
      </c>
      <c r="BK7" s="25">
        <f t="shared" si="1"/>
        <v>100</v>
      </c>
      <c r="BL7" s="260">
        <f t="shared" si="1"/>
        <v>1274</v>
      </c>
      <c r="BM7" s="242"/>
      <c r="BN7" s="250"/>
      <c r="BO7" s="644">
        <f>'WNTR-Calcs'!J14</f>
        <v>13.778018453112617</v>
      </c>
      <c r="BP7" s="616">
        <f>'WNTR-Calcs'!K14</f>
        <v>19.866310160427808</v>
      </c>
      <c r="BQ7" s="616">
        <f>'WNTR-Calcs'!L14</f>
        <v>-20.535440000000001</v>
      </c>
      <c r="BR7" s="645">
        <f>'WNTR-Calcs'!R14</f>
        <v>8.4864859027201298E-2</v>
      </c>
      <c r="BS7" s="215">
        <f>'WNTR-Calcs'!AO14</f>
        <v>-2068.5318116484241</v>
      </c>
      <c r="BT7" s="694">
        <f>'WNTR-Calcs'!AP14</f>
        <v>-0.24625378710100287</v>
      </c>
      <c r="BU7" s="704">
        <f>IF(BK7="XX", "XX", BS7*1.08*$AG$10/1000)</f>
        <v>-17829.668579867361</v>
      </c>
      <c r="BV7" s="602"/>
      <c r="BW7" s="602"/>
      <c r="BX7" s="602"/>
      <c r="BY7" s="602"/>
      <c r="BZ7" s="602"/>
      <c r="CA7" s="602"/>
      <c r="CB7" s="250"/>
      <c r="CC7" s="250"/>
      <c r="CD7" s="220">
        <f t="shared" si="2"/>
        <v>23</v>
      </c>
      <c r="CE7" s="554">
        <f t="shared" si="2"/>
        <v>100</v>
      </c>
      <c r="CF7" s="554">
        <f t="shared" si="2"/>
        <v>1274</v>
      </c>
      <c r="CG7" s="555"/>
      <c r="CH7" s="250"/>
      <c r="CI7" s="619">
        <f>'SMMR-Calcs'!L14</f>
        <v>90.464560000000006</v>
      </c>
      <c r="CJ7" s="620">
        <f>'SMMR-Calcs'!Q14</f>
        <v>15.049131618002704</v>
      </c>
      <c r="CK7" s="620">
        <f>'SMMR-Calcs'!S14</f>
        <v>35.451532879489818</v>
      </c>
      <c r="CL7" s="621">
        <f>IF(AK7="XX", "XX", AY7)</f>
        <v>712.59131822679126</v>
      </c>
      <c r="CM7" s="622">
        <f>IF(AK7="XX",  "XX", CL7*60/CJ7)</f>
        <v>2841.0595494068725</v>
      </c>
      <c r="CN7" s="585">
        <f>'SMMR-Calcs'!AQ14</f>
        <v>11901.504091893097</v>
      </c>
      <c r="CO7" s="586">
        <f>'SMMR-Calcs'!AR14</f>
        <v>2308.7958710548041</v>
      </c>
      <c r="CP7" s="197"/>
      <c r="CQ7" s="615">
        <f>'WNTR-Calcs'!L14</f>
        <v>-20.535440000000001</v>
      </c>
      <c r="CR7" s="620">
        <f>'WNTR-Calcs'!Q14</f>
        <v>11.783440301002269</v>
      </c>
      <c r="CS7" s="620">
        <f>'WNTR-Calcs'!S14</f>
        <v>-4.5481417762574612</v>
      </c>
      <c r="CT7" s="621">
        <f>IF(AR7="XX", "XX", BS7)</f>
        <v>-2068.5318116484241</v>
      </c>
      <c r="CU7" s="622">
        <f>IF(AR7="XX",  "XX", CT7*60/CR7)</f>
        <v>-10532.73963532949</v>
      </c>
      <c r="CV7" s="585">
        <f>'WNTR-Calcs'!AQ14</f>
        <v>206725.50145247477</v>
      </c>
      <c r="CW7" s="586">
        <f>'WNTR-Calcs'!AR14</f>
        <v>-6702.0430697408947</v>
      </c>
      <c r="CX7" s="609"/>
      <c r="CY7" s="250"/>
    </row>
    <row r="8" spans="1:104" ht="16.05" customHeight="1" thickTop="1" thickBot="1">
      <c r="A8" s="250"/>
      <c r="B8" s="723">
        <f>B7+0.02</f>
        <v>0.02</v>
      </c>
      <c r="C8" s="734">
        <f>B8 / ($L$3 * SQRT(2*$C$3/$N$3))</f>
        <v>4.0993577213766855E-2</v>
      </c>
      <c r="D8" s="250"/>
      <c r="E8" s="549"/>
      <c r="F8" s="550"/>
      <c r="G8" s="550" t="s">
        <v>4</v>
      </c>
      <c r="H8" s="329">
        <v>320</v>
      </c>
      <c r="I8" s="330">
        <v>280</v>
      </c>
      <c r="J8" s="330">
        <v>240</v>
      </c>
      <c r="K8" s="330">
        <v>220</v>
      </c>
      <c r="L8" s="331">
        <v>200</v>
      </c>
      <c r="M8" s="330">
        <v>180</v>
      </c>
      <c r="N8" s="330">
        <v>180</v>
      </c>
      <c r="O8" s="332">
        <v>180</v>
      </c>
      <c r="P8" s="289"/>
      <c r="Q8" s="709"/>
      <c r="R8" s="406"/>
      <c r="S8" s="409"/>
      <c r="T8" s="407"/>
      <c r="U8" s="413"/>
      <c r="V8" s="495"/>
      <c r="W8" s="549"/>
      <c r="X8" s="550"/>
      <c r="Y8" s="550" t="s">
        <v>2</v>
      </c>
      <c r="Z8" s="299" t="s">
        <v>9</v>
      </c>
      <c r="AA8" s="194"/>
      <c r="AB8" s="194"/>
      <c r="AC8" s="301"/>
      <c r="AD8" s="550"/>
      <c r="AE8" s="550" t="s">
        <v>83</v>
      </c>
      <c r="AF8" s="306">
        <v>95</v>
      </c>
      <c r="AG8" s="307">
        <v>-16</v>
      </c>
      <c r="AH8" s="275"/>
      <c r="AI8" s="398" t="s">
        <v>192</v>
      </c>
      <c r="AJ8" s="400"/>
      <c r="AK8" s="369">
        <f>AF17</f>
        <v>7</v>
      </c>
      <c r="AL8" s="401" t="s">
        <v>193</v>
      </c>
      <c r="AM8" s="403">
        <f>AF29</f>
        <v>16</v>
      </c>
      <c r="AN8" s="250"/>
      <c r="AO8" s="250"/>
      <c r="AP8" s="370" t="str">
        <f>AI8</f>
        <v>Section &gt;&gt;</v>
      </c>
      <c r="AQ8" s="372"/>
      <c r="AR8" s="376">
        <f>AK8</f>
        <v>7</v>
      </c>
      <c r="AS8" s="229">
        <f>AF33</f>
        <v>22.400000000000002</v>
      </c>
      <c r="AT8" s="249"/>
      <c r="AU8" s="646" t="s">
        <v>148</v>
      </c>
      <c r="AV8" s="647" t="s">
        <v>151</v>
      </c>
      <c r="AW8" s="647" t="s">
        <v>149</v>
      </c>
      <c r="AX8" s="648" t="s">
        <v>150</v>
      </c>
      <c r="AY8" s="556" t="s">
        <v>146</v>
      </c>
      <c r="AZ8" s="684" t="s">
        <v>147</v>
      </c>
      <c r="BA8" s="692" t="s">
        <v>237</v>
      </c>
      <c r="BB8" s="152"/>
      <c r="BC8" s="152"/>
      <c r="BD8" s="152"/>
      <c r="BE8" s="152"/>
      <c r="BF8" s="152"/>
      <c r="BG8" s="152"/>
      <c r="BH8" s="254"/>
      <c r="BI8" s="254"/>
      <c r="BJ8" s="370" t="str">
        <f>AI8</f>
        <v>Section &gt;&gt;</v>
      </c>
      <c r="BK8" s="261"/>
      <c r="BL8" s="262">
        <f>AR8</f>
        <v>7</v>
      </c>
      <c r="BM8" s="229">
        <f>AS8</f>
        <v>22.400000000000002</v>
      </c>
      <c r="BN8" s="250"/>
      <c r="BO8" s="646" t="s">
        <v>148</v>
      </c>
      <c r="BP8" s="647" t="s">
        <v>151</v>
      </c>
      <c r="BQ8" s="647" t="s">
        <v>149</v>
      </c>
      <c r="BR8" s="648" t="s">
        <v>150</v>
      </c>
      <c r="BS8" s="556" t="s">
        <v>146</v>
      </c>
      <c r="BT8" s="695" t="s">
        <v>147</v>
      </c>
      <c r="BU8" s="705" t="s">
        <v>239</v>
      </c>
      <c r="BV8" s="478"/>
      <c r="BW8" s="478"/>
      <c r="BX8" s="478"/>
      <c r="BY8" s="478"/>
      <c r="BZ8" s="478"/>
      <c r="CA8" s="478"/>
      <c r="CB8" s="250"/>
      <c r="CC8" s="250"/>
      <c r="CD8" s="557"/>
      <c r="CE8" s="558"/>
      <c r="CF8" s="559">
        <f>AR8</f>
        <v>7</v>
      </c>
      <c r="CG8" s="229">
        <f>AS8</f>
        <v>22.400000000000002</v>
      </c>
      <c r="CH8" s="250"/>
      <c r="CI8" s="623" t="s">
        <v>149</v>
      </c>
      <c r="CJ8" s="624" t="s">
        <v>235</v>
      </c>
      <c r="CK8" s="624" t="s">
        <v>236</v>
      </c>
      <c r="CL8" s="625" t="s">
        <v>158</v>
      </c>
      <c r="CM8" s="626" t="s">
        <v>159</v>
      </c>
      <c r="CN8" s="587" t="s">
        <v>204</v>
      </c>
      <c r="CO8" s="588" t="s">
        <v>234</v>
      </c>
      <c r="CP8" s="197"/>
      <c r="CQ8" s="623" t="s">
        <v>149</v>
      </c>
      <c r="CR8" s="624" t="s">
        <v>235</v>
      </c>
      <c r="CS8" s="624" t="s">
        <v>236</v>
      </c>
      <c r="CT8" s="625" t="s">
        <v>158</v>
      </c>
      <c r="CU8" s="626" t="s">
        <v>159</v>
      </c>
      <c r="CV8" s="587" t="s">
        <v>204</v>
      </c>
      <c r="CW8" s="588" t="s">
        <v>234</v>
      </c>
      <c r="CX8" s="608"/>
      <c r="CY8" s="250"/>
    </row>
    <row r="9" spans="1:104" ht="16.05" customHeight="1" thickTop="1" thickBot="1">
      <c r="A9" s="250"/>
      <c r="B9" s="723">
        <f t="shared" ref="B9:B37" si="3">B8+0.02</f>
        <v>0.04</v>
      </c>
      <c r="C9" s="734">
        <f t="shared" ref="C9:C37" si="4">B9 / ($L$3 * SQRT(2*$C$3/$N$3))</f>
        <v>8.1987154427533709E-2</v>
      </c>
      <c r="D9" s="250"/>
      <c r="E9" s="549"/>
      <c r="F9" s="550"/>
      <c r="G9" s="550" t="s">
        <v>5</v>
      </c>
      <c r="H9" s="329">
        <v>240</v>
      </c>
      <c r="I9" s="330">
        <v>200</v>
      </c>
      <c r="J9" s="330">
        <v>160</v>
      </c>
      <c r="K9" s="330">
        <v>140</v>
      </c>
      <c r="L9" s="331">
        <v>120</v>
      </c>
      <c r="M9" s="330">
        <v>100</v>
      </c>
      <c r="N9" s="330">
        <v>100</v>
      </c>
      <c r="O9" s="332">
        <v>100</v>
      </c>
      <c r="P9" s="288"/>
      <c r="Q9" s="230">
        <v>22</v>
      </c>
      <c r="R9" s="340">
        <v>0</v>
      </c>
      <c r="S9" s="362">
        <v>3</v>
      </c>
      <c r="T9" s="340">
        <v>15</v>
      </c>
      <c r="U9" s="413"/>
      <c r="V9" s="495"/>
      <c r="W9" s="560"/>
      <c r="X9" s="561"/>
      <c r="Y9" s="561" t="s">
        <v>1</v>
      </c>
      <c r="Z9" s="422" t="s">
        <v>105</v>
      </c>
      <c r="AA9" s="302"/>
      <c r="AB9" s="302"/>
      <c r="AC9" s="423"/>
      <c r="AD9" s="550"/>
      <c r="AE9" s="550" t="s">
        <v>6</v>
      </c>
      <c r="AF9" s="306">
        <v>75</v>
      </c>
      <c r="AG9" s="307">
        <v>-16</v>
      </c>
      <c r="AH9" s="275"/>
      <c r="AI9" s="230">
        <v>22</v>
      </c>
      <c r="AJ9" s="340">
        <v>0</v>
      </c>
      <c r="AK9" s="386" t="str">
        <f xml:space="preserve"> IF(AJ9&lt;=0, "XX", Z$29 + AA$29 + AB$29 + AC$29 + AD$29 + AE$29 + +AJ9)</f>
        <v>XX</v>
      </c>
      <c r="AL9" s="26" t="str">
        <f>IF(AK9="XX", "XX", $Z$11 + Z$34 + AA$34 + AB$34 +AC$34 + AD$34 +AE$34 + AJ9*AF$21)</f>
        <v>XX</v>
      </c>
      <c r="AM9" s="402" t="str">
        <f t="shared" ref="AM9:AM37" si="5">IF(AK9="XX", "XX", AL9*0.3048)</f>
        <v>XX</v>
      </c>
      <c r="AN9" s="250"/>
      <c r="AO9" s="250"/>
      <c r="AP9" s="219">
        <f t="shared" ref="AP9:AP11" si="6">AI9</f>
        <v>22</v>
      </c>
      <c r="AQ9" s="239" t="str">
        <f t="shared" ref="AQ9:AQ11" si="7">AK9</f>
        <v>XX</v>
      </c>
      <c r="AR9" s="371" t="str">
        <f>'SMMR-Calcs'!AH19</f>
        <v>XX</v>
      </c>
      <c r="AS9" s="240"/>
      <c r="AT9" s="248"/>
      <c r="AU9" s="644" t="str">
        <f>'SMMR-Calcs'!J19</f>
        <v>XX</v>
      </c>
      <c r="AV9" s="616" t="str">
        <f>'SMMR-Calcs'!K19</f>
        <v>XX</v>
      </c>
      <c r="AW9" s="616" t="str">
        <f>'SMMR-Calcs'!L19</f>
        <v>XX</v>
      </c>
      <c r="AX9" s="645" t="str">
        <f>'SMMR-Calcs'!R19</f>
        <v>XX</v>
      </c>
      <c r="AY9" s="215" t="str">
        <f>'SMMR-Calcs'!AO19</f>
        <v>XX</v>
      </c>
      <c r="AZ9" s="682" t="str">
        <f>'SMMR-Calcs'!AP19</f>
        <v>XX</v>
      </c>
      <c r="BA9" s="699" t="str">
        <f t="shared" ref="BA9:BA11" si="8">IF(AK9="XX", "XX", AY9*1.08*$AF$10/12000)</f>
        <v>XX</v>
      </c>
      <c r="BB9" s="600"/>
      <c r="BC9" s="600"/>
      <c r="BD9" s="600"/>
      <c r="BE9" s="600"/>
      <c r="BF9" s="600"/>
      <c r="BG9" s="600"/>
      <c r="BH9" s="254"/>
      <c r="BI9" s="254"/>
      <c r="BJ9" s="219">
        <f t="shared" ref="BJ9:BL11" si="9">AP9</f>
        <v>22</v>
      </c>
      <c r="BK9" s="25" t="str">
        <f t="shared" si="9"/>
        <v>XX</v>
      </c>
      <c r="BL9" s="263" t="str">
        <f t="shared" si="9"/>
        <v>XX</v>
      </c>
      <c r="BM9" s="240"/>
      <c r="BN9" s="250"/>
      <c r="BO9" s="649" t="str">
        <f>'WNTR-Calcs'!J19</f>
        <v>XX</v>
      </c>
      <c r="BP9" s="650" t="str">
        <f>'WNTR-Calcs'!K19</f>
        <v>XX</v>
      </c>
      <c r="BQ9" s="651" t="str">
        <f>'WNTR-Calcs'!L12</f>
        <v>F</v>
      </c>
      <c r="BR9" s="645" t="str">
        <f>'WNTR-Calcs'!R19</f>
        <v>XX</v>
      </c>
      <c r="BS9" s="215" t="str">
        <f>'WNTR-Calcs'!AO19</f>
        <v>XX</v>
      </c>
      <c r="BT9" s="694" t="str">
        <f>'WNTR-Calcs'!AP19</f>
        <v>XX</v>
      </c>
      <c r="BU9" s="699" t="str">
        <f>IF(BK9="XX", "XX", BS9*1.08*$AG$10/1000)</f>
        <v>XX</v>
      </c>
      <c r="BV9" s="602"/>
      <c r="BW9" s="602"/>
      <c r="BX9" s="602"/>
      <c r="BY9" s="602"/>
      <c r="BZ9" s="602"/>
      <c r="CA9" s="602"/>
      <c r="CB9" s="250"/>
      <c r="CC9" s="250"/>
      <c r="CD9" s="219">
        <f t="shared" ref="CD9:CF11" si="10">AP9</f>
        <v>22</v>
      </c>
      <c r="CE9" s="551" t="str">
        <f t="shared" si="10"/>
        <v>XX</v>
      </c>
      <c r="CF9" s="551" t="str">
        <f t="shared" si="10"/>
        <v>XX</v>
      </c>
      <c r="CG9" s="562"/>
      <c r="CH9" s="250"/>
      <c r="CI9" s="615" t="str">
        <f>'SMMR-Calcs'!L19</f>
        <v>XX</v>
      </c>
      <c r="CJ9" s="616" t="str">
        <f>'SMMR-Calcs'!Q19</f>
        <v>XX</v>
      </c>
      <c r="CK9" s="616" t="str">
        <f>'SMMR-Calcs'!S19</f>
        <v>XX</v>
      </c>
      <c r="CL9" s="617" t="str">
        <f>IF(AK9="XX", "XX", AY9)</f>
        <v>XX</v>
      </c>
      <c r="CM9" s="618" t="str">
        <f>IF(AK9="XX",  "XX", CL9*60/CJ9)</f>
        <v>XX</v>
      </c>
      <c r="CN9" s="585" t="str">
        <f>'SMMR-Calcs'!AQ19</f>
        <v>XX</v>
      </c>
      <c r="CO9" s="586" t="str">
        <f>'SMMR-Calcs'!AR19</f>
        <v>XX</v>
      </c>
      <c r="CP9" s="197"/>
      <c r="CQ9" s="615" t="str">
        <f>'WNTR-Calcs'!L19</f>
        <v>XX</v>
      </c>
      <c r="CR9" s="616" t="str">
        <f>'SMMR-Calcs'!Q19</f>
        <v>XX</v>
      </c>
      <c r="CS9" s="616" t="str">
        <f>'WNTR-Calcs'!S19</f>
        <v>XX</v>
      </c>
      <c r="CT9" s="617" t="str">
        <f>IF(AR9="XX", "XX", BS9)</f>
        <v>XX</v>
      </c>
      <c r="CU9" s="618" t="str">
        <f>IF(AR9="XX",  "XX", CT9*60/CR9)</f>
        <v>XX</v>
      </c>
      <c r="CV9" s="585" t="str">
        <f>'WNTR-Calcs'!AQ19</f>
        <v>XX</v>
      </c>
      <c r="CW9" s="586" t="str">
        <f>'WNTR-Calcs'!AR19</f>
        <v>XX</v>
      </c>
      <c r="CX9" s="609"/>
      <c r="CY9" s="250"/>
    </row>
    <row r="10" spans="1:104" ht="16.05" customHeight="1" thickBot="1">
      <c r="A10" s="250"/>
      <c r="B10" s="723">
        <f t="shared" si="3"/>
        <v>0.06</v>
      </c>
      <c r="C10" s="734">
        <f t="shared" si="4"/>
        <v>0.12298073164130055</v>
      </c>
      <c r="D10" s="250"/>
      <c r="E10" s="549"/>
      <c r="F10" s="550"/>
      <c r="G10" s="550" t="s">
        <v>3</v>
      </c>
      <c r="H10" s="333">
        <v>20</v>
      </c>
      <c r="I10" s="334">
        <v>18</v>
      </c>
      <c r="J10" s="334">
        <v>15</v>
      </c>
      <c r="K10" s="334">
        <v>13.5</v>
      </c>
      <c r="L10" s="335">
        <v>15</v>
      </c>
      <c r="M10" s="334">
        <v>10</v>
      </c>
      <c r="N10" s="334">
        <v>10</v>
      </c>
      <c r="O10" s="336">
        <v>15</v>
      </c>
      <c r="P10" s="290"/>
      <c r="Q10" s="230">
        <v>21</v>
      </c>
      <c r="R10" s="342">
        <v>10</v>
      </c>
      <c r="S10" s="364">
        <v>2</v>
      </c>
      <c r="T10" s="342">
        <v>10</v>
      </c>
      <c r="U10" s="413"/>
      <c r="V10" s="495"/>
      <c r="W10" s="250"/>
      <c r="X10" s="250"/>
      <c r="Y10" s="250"/>
      <c r="Z10" s="494"/>
      <c r="AA10" s="250"/>
      <c r="AB10" s="250"/>
      <c r="AC10" s="250"/>
      <c r="AD10" s="550"/>
      <c r="AE10" s="550" t="s">
        <v>196</v>
      </c>
      <c r="AF10" s="306">
        <v>2680</v>
      </c>
      <c r="AG10" s="307">
        <v>7981</v>
      </c>
      <c r="AH10" s="275"/>
      <c r="AI10" s="230">
        <v>21</v>
      </c>
      <c r="AJ10" s="342">
        <v>10</v>
      </c>
      <c r="AK10" s="388">
        <f xml:space="preserve"> IF(AJ10&lt;=0, "XX", Z$29 + AA$29 + AB$29 + AC$29 + AD$29 + AE$29 + +AJ10)</f>
        <v>93</v>
      </c>
      <c r="AL10" s="26">
        <f>IF(AK10="XX", "XX", $Z$11 + Z$34 + AA$34 + AB$34 +AC$34 + AD$34 +AE$34 + AJ10*AF$21)</f>
        <v>1689</v>
      </c>
      <c r="AM10" s="392">
        <f t="shared" si="5"/>
        <v>514.80720000000008</v>
      </c>
      <c r="AN10" s="250"/>
      <c r="AO10" s="250"/>
      <c r="AP10" s="219">
        <f t="shared" si="6"/>
        <v>21</v>
      </c>
      <c r="AQ10" s="239">
        <f t="shared" si="7"/>
        <v>93</v>
      </c>
      <c r="AR10" s="787">
        <f>'SMMR-Calcs'!AH20</f>
        <v>1189</v>
      </c>
      <c r="AS10" s="243"/>
      <c r="AT10" s="248"/>
      <c r="AU10" s="644">
        <f>'SMMR-Calcs'!J20</f>
        <v>13.820913388659964</v>
      </c>
      <c r="AV10" s="616">
        <f>'SMMR-Calcs'!K20</f>
        <v>9.5416348357524825</v>
      </c>
      <c r="AW10" s="616">
        <f>'SMMR-Calcs'!L20</f>
        <v>90.767160000000004</v>
      </c>
      <c r="AX10" s="645">
        <f>'SMMR-Calcs'!R20</f>
        <v>6.6606100121910358E-2</v>
      </c>
      <c r="AY10" s="215">
        <f>'SMMR-Calcs'!AO20</f>
        <v>582.09183457535062</v>
      </c>
      <c r="AZ10" s="682">
        <f>'SMMR-Calcs'!AP20</f>
        <v>6.9296646973256021E-2</v>
      </c>
      <c r="BA10" s="699">
        <f t="shared" si="8"/>
        <v>140.40055049957456</v>
      </c>
      <c r="BB10" s="600"/>
      <c r="BC10" s="600"/>
      <c r="BD10" s="600"/>
      <c r="BE10" s="600"/>
      <c r="BF10" s="600"/>
      <c r="BG10" s="600"/>
      <c r="BH10" s="254"/>
      <c r="BI10" s="254"/>
      <c r="BJ10" s="219">
        <f t="shared" si="9"/>
        <v>21</v>
      </c>
      <c r="BK10" s="25">
        <f t="shared" si="9"/>
        <v>93</v>
      </c>
      <c r="BL10" s="263">
        <f t="shared" si="9"/>
        <v>1189</v>
      </c>
      <c r="BM10" s="243"/>
      <c r="BN10" s="250"/>
      <c r="BO10" s="649" t="str">
        <f>'WNTR-Calcs'!J19</f>
        <v>XX</v>
      </c>
      <c r="BP10" s="650" t="str">
        <f>'WNTR-Calcs'!K19</f>
        <v>XX</v>
      </c>
      <c r="BQ10" s="651">
        <f>'WNTR-Calcs'!L13</f>
        <v>-20.588839999999998</v>
      </c>
      <c r="BR10" s="645" t="str">
        <f>'WNTR-Calcs'!R19</f>
        <v>XX</v>
      </c>
      <c r="BS10" s="215">
        <f>'WNTR-Calcs'!AO20</f>
        <v>-1710.0981685580489</v>
      </c>
      <c r="BT10" s="694">
        <f>'WNTR-Calcs'!AP20</f>
        <v>-0.20358311530452963</v>
      </c>
      <c r="BU10" s="699">
        <f>IF(BK10="XX", "XX", BS10*1.08*$AG$10/1000)</f>
        <v>-14740.156961922734</v>
      </c>
      <c r="BV10" s="602"/>
      <c r="BW10" s="602"/>
      <c r="BX10" s="602"/>
      <c r="BY10" s="602"/>
      <c r="BZ10" s="602"/>
      <c r="CA10" s="602"/>
      <c r="CB10" s="250"/>
      <c r="CC10" s="250"/>
      <c r="CD10" s="219">
        <f t="shared" si="10"/>
        <v>21</v>
      </c>
      <c r="CE10" s="551">
        <f t="shared" si="10"/>
        <v>93</v>
      </c>
      <c r="CF10" s="551">
        <f t="shared" si="10"/>
        <v>1189</v>
      </c>
      <c r="CG10" s="552"/>
      <c r="CH10" s="250"/>
      <c r="CI10" s="615">
        <f>'SMMR-Calcs'!L20</f>
        <v>90.767160000000004</v>
      </c>
      <c r="CJ10" s="616">
        <f>'SMMR-Calcs'!Q20</f>
        <v>15.013639864361998</v>
      </c>
      <c r="CK10" s="616">
        <f>'SMMR-Calcs'!S20</f>
        <v>35.663778859253568</v>
      </c>
      <c r="CL10" s="617">
        <f>IF(AK10="XX", "XX", AY10)</f>
        <v>582.09183457535062</v>
      </c>
      <c r="CM10" s="618">
        <f>IF(AK10="XX",  "XX", CL10*60/CJ10)</f>
        <v>2326.2520208323372</v>
      </c>
      <c r="CN10" s="585">
        <f>'SMMR-Calcs'!AQ20</f>
        <v>9912.1698976785356</v>
      </c>
      <c r="CO10" s="586">
        <f>'SMMR-Calcs'!AR20</f>
        <v>1885.9775440241363</v>
      </c>
      <c r="CP10" s="197"/>
      <c r="CQ10" s="615">
        <f>'WNTR-Calcs'!L20</f>
        <v>-20.232839999999999</v>
      </c>
      <c r="CR10" s="616">
        <f>'SMMR-Calcs'!Q20</f>
        <v>15.013639864361998</v>
      </c>
      <c r="CS10" s="616">
        <f>'WNTR-Calcs'!S20</f>
        <v>-4.470648283831232</v>
      </c>
      <c r="CT10" s="617">
        <f>IF(AR10="XX", "XX", BS10)</f>
        <v>-1710.0981685580489</v>
      </c>
      <c r="CU10" s="618">
        <f>IF(AR10="XX",  "XX", CT10*60/CR10)</f>
        <v>-6834.1781899963771</v>
      </c>
      <c r="CV10" s="585">
        <f>'WNTR-Calcs'!AQ20</f>
        <v>170345.38762610016</v>
      </c>
      <c r="CW10" s="586">
        <f>'WNTR-Calcs'!AR20</f>
        <v>-5540.718066128079</v>
      </c>
      <c r="CX10" s="609"/>
      <c r="CY10" s="250"/>
    </row>
    <row r="11" spans="1:104" ht="16.05" customHeight="1" thickTop="1" thickBot="1">
      <c r="A11" s="250"/>
      <c r="B11" s="723">
        <f t="shared" si="3"/>
        <v>0.08</v>
      </c>
      <c r="C11" s="734">
        <f t="shared" si="4"/>
        <v>0.16397430885506742</v>
      </c>
      <c r="D11" s="250"/>
      <c r="E11" s="549"/>
      <c r="F11" s="550"/>
      <c r="G11" s="550" t="s">
        <v>29</v>
      </c>
      <c r="H11" s="310">
        <v>2</v>
      </c>
      <c r="I11" s="286">
        <v>3</v>
      </c>
      <c r="J11" s="286">
        <v>6</v>
      </c>
      <c r="K11" s="286">
        <v>40</v>
      </c>
      <c r="L11" s="287">
        <v>5</v>
      </c>
      <c r="M11" s="286">
        <v>25</v>
      </c>
      <c r="N11" s="286">
        <v>15</v>
      </c>
      <c r="O11" s="311">
        <v>2</v>
      </c>
      <c r="P11" s="289"/>
      <c r="Q11" s="232">
        <v>20</v>
      </c>
      <c r="R11" s="341">
        <v>5</v>
      </c>
      <c r="S11" s="363">
        <v>1</v>
      </c>
      <c r="T11" s="341">
        <v>5</v>
      </c>
      <c r="U11" s="414"/>
      <c r="V11" s="495"/>
      <c r="W11" s="563"/>
      <c r="X11" s="564"/>
      <c r="Y11" s="536" t="s">
        <v>93</v>
      </c>
      <c r="Z11" s="424">
        <v>500</v>
      </c>
      <c r="AA11" s="550"/>
      <c r="AB11" s="565" t="s">
        <v>99</v>
      </c>
      <c r="AC11" s="424">
        <v>20</v>
      </c>
      <c r="AD11" s="550"/>
      <c r="AE11" s="550" t="s">
        <v>7</v>
      </c>
      <c r="AF11" s="306">
        <v>75</v>
      </c>
      <c r="AG11" s="307">
        <v>72</v>
      </c>
      <c r="AH11" s="275"/>
      <c r="AI11" s="232">
        <v>20</v>
      </c>
      <c r="AJ11" s="341">
        <v>5</v>
      </c>
      <c r="AK11" s="389">
        <f xml:space="preserve"> IF(AJ11&lt;=0, "XX", Z$29 + AA$29 + AB$29 + AC$29 + AD$29 + AE$29 + +AJ11)</f>
        <v>88</v>
      </c>
      <c r="AL11" s="395">
        <f>IF(AK11="XX", "XX", $Z$11 + Z$34 + AA$34 + AB$34 +AC$34 + AD$34 +AE$34 + AJ11*AF$21)</f>
        <v>1639</v>
      </c>
      <c r="AM11" s="396">
        <f t="shared" si="5"/>
        <v>499.56720000000001</v>
      </c>
      <c r="AN11" s="250"/>
      <c r="AO11" s="250"/>
      <c r="AP11" s="221">
        <f t="shared" si="6"/>
        <v>20</v>
      </c>
      <c r="AQ11" s="239">
        <f t="shared" si="7"/>
        <v>88</v>
      </c>
      <c r="AR11" s="786">
        <f>'SMMR-Calcs'!AH21</f>
        <v>1139</v>
      </c>
      <c r="AS11" s="244"/>
      <c r="AT11" s="248"/>
      <c r="AU11" s="675">
        <f>'SMMR-Calcs'!J21</f>
        <v>13.846196172822722</v>
      </c>
      <c r="AV11" s="628">
        <f>'SMMR-Calcs'!K21</f>
        <v>9.3506493506493502</v>
      </c>
      <c r="AW11" s="628">
        <f>'SMMR-Calcs'!L21</f>
        <v>90.945160000000001</v>
      </c>
      <c r="AX11" s="662">
        <f>'SMMR-Calcs'!R21</f>
        <v>6.6698591765757431E-2</v>
      </c>
      <c r="AY11" s="217">
        <f>'SMMR-Calcs'!AO21</f>
        <v>548.45671900044545</v>
      </c>
      <c r="AZ11" s="685">
        <f>'SMMR-Calcs'!AP21</f>
        <v>6.5292466547672082E-2</v>
      </c>
      <c r="BA11" s="703">
        <f t="shared" si="8"/>
        <v>132.28776062290746</v>
      </c>
      <c r="BB11" s="600"/>
      <c r="BC11" s="600"/>
      <c r="BD11" s="600"/>
      <c r="BE11" s="600"/>
      <c r="BF11" s="600"/>
      <c r="BG11" s="600"/>
      <c r="BH11" s="254"/>
      <c r="BI11" s="254"/>
      <c r="BJ11" s="220">
        <f t="shared" si="9"/>
        <v>20</v>
      </c>
      <c r="BK11" s="264">
        <f t="shared" si="9"/>
        <v>88</v>
      </c>
      <c r="BL11" s="265">
        <f t="shared" si="9"/>
        <v>1139</v>
      </c>
      <c r="BM11" s="244"/>
      <c r="BN11" s="250"/>
      <c r="BO11" s="652">
        <f>'WNTR-Calcs'!J20</f>
        <v>13.820913388659964</v>
      </c>
      <c r="BP11" s="653">
        <f>'WNTR-Calcs'!K20</f>
        <v>19.541634835752483</v>
      </c>
      <c r="BQ11" s="654">
        <f>'WNTR-Calcs'!L14</f>
        <v>-20.535440000000001</v>
      </c>
      <c r="BR11" s="655">
        <f>'WNTR-Calcs'!R20</f>
        <v>8.5069824769654315E-2</v>
      </c>
      <c r="BS11" s="215">
        <f>'WNTR-Calcs'!AO21</f>
        <v>-1630.1278506602712</v>
      </c>
      <c r="BT11" s="694">
        <f>'WNTR-Calcs'!AP21</f>
        <v>-0.19406283936431801</v>
      </c>
      <c r="BU11" s="703">
        <f>IF(BK11="XX", "XX", BS11*1.08*$AG$10/1000)</f>
        <v>-14050.854406209195</v>
      </c>
      <c r="BV11" s="602"/>
      <c r="BW11" s="602"/>
      <c r="BX11" s="602"/>
      <c r="BY11" s="602"/>
      <c r="BZ11" s="602"/>
      <c r="CA11" s="602"/>
      <c r="CB11" s="250"/>
      <c r="CC11" s="250"/>
      <c r="CD11" s="221">
        <f t="shared" si="10"/>
        <v>20</v>
      </c>
      <c r="CE11" s="566">
        <f t="shared" si="10"/>
        <v>88</v>
      </c>
      <c r="CF11" s="566">
        <f t="shared" si="10"/>
        <v>1139</v>
      </c>
      <c r="CG11" s="567"/>
      <c r="CH11" s="250"/>
      <c r="CI11" s="627">
        <f>'SMMR-Calcs'!L21</f>
        <v>90.945160000000001</v>
      </c>
      <c r="CJ11" s="628">
        <f>'SMMR-Calcs'!Q21</f>
        <v>14.992820290898447</v>
      </c>
      <c r="CK11" s="628">
        <f>'SMMR-Calcs'!S21</f>
        <v>35.789033724664094</v>
      </c>
      <c r="CL11" s="629">
        <f>IF(AK11="XX", "XX", AY11)</f>
        <v>548.45671900044545</v>
      </c>
      <c r="CM11" s="630">
        <f>IF(AK11="XX",  "XX", CL11*60/CJ11)</f>
        <v>2194.8774481078467</v>
      </c>
      <c r="CN11" s="585">
        <f>'SMMR-Calcs'!AQ21</f>
        <v>9444.8485485401143</v>
      </c>
      <c r="CO11" s="586">
        <f>'SMMR-Calcs'!AR21</f>
        <v>1776.9997695614431</v>
      </c>
      <c r="CP11" s="197"/>
      <c r="CQ11" s="615">
        <f>'WNTR-Calcs'!L21</f>
        <v>-20.054839999999999</v>
      </c>
      <c r="CR11" s="616">
        <f>'SMMR-Calcs'!Q21</f>
        <v>14.992820290898447</v>
      </c>
      <c r="CS11" s="616">
        <f>'WNTR-Calcs'!S21</f>
        <v>-4.4250387905304969</v>
      </c>
      <c r="CT11" s="617">
        <f>IF(AR11="XX", "XX", BS11)</f>
        <v>-1630.1278506602712</v>
      </c>
      <c r="CU11" s="618">
        <f>IF(AR11="XX",  "XX", CT11*60/CR11)</f>
        <v>-6523.6339222308607</v>
      </c>
      <c r="CV11" s="585">
        <f>'WNTR-Calcs'!AQ21</f>
        <v>162066.05114984117</v>
      </c>
      <c r="CW11" s="586">
        <f>'WNTR-Calcs'!AR21</f>
        <v>-5281.6142361392785</v>
      </c>
      <c r="CX11" s="609"/>
      <c r="CY11" s="250"/>
    </row>
    <row r="12" spans="1:104" ht="16.05" customHeight="1" thickTop="1" thickBot="1">
      <c r="A12" s="250"/>
      <c r="B12" s="723">
        <f t="shared" si="3"/>
        <v>0.1</v>
      </c>
      <c r="C12" s="734">
        <f t="shared" si="4"/>
        <v>0.20496788606883429</v>
      </c>
      <c r="D12" s="250"/>
      <c r="E12" s="549"/>
      <c r="F12" s="550"/>
      <c r="G12" s="550" t="s">
        <v>144</v>
      </c>
      <c r="H12" s="310" t="s">
        <v>91</v>
      </c>
      <c r="I12" s="286" t="s">
        <v>92</v>
      </c>
      <c r="J12" s="286" t="s">
        <v>91</v>
      </c>
      <c r="K12" s="286" t="s">
        <v>92</v>
      </c>
      <c r="L12" s="287" t="s">
        <v>91</v>
      </c>
      <c r="M12" s="286" t="s">
        <v>91</v>
      </c>
      <c r="N12" s="286" t="s">
        <v>92</v>
      </c>
      <c r="O12" s="311" t="s">
        <v>92</v>
      </c>
      <c r="P12" s="289"/>
      <c r="Q12" s="709"/>
      <c r="R12" s="406"/>
      <c r="S12" s="409"/>
      <c r="T12" s="407"/>
      <c r="U12" s="413"/>
      <c r="V12" s="495"/>
      <c r="W12" s="195"/>
      <c r="X12" s="196"/>
      <c r="Y12" s="568" t="s">
        <v>100</v>
      </c>
      <c r="Z12" s="303">
        <v>0.6</v>
      </c>
      <c r="AA12" s="295"/>
      <c r="AB12" s="568" t="s">
        <v>101</v>
      </c>
      <c r="AC12" s="303">
        <v>0.6</v>
      </c>
      <c r="AD12" s="568"/>
      <c r="AE12" s="568" t="s">
        <v>8</v>
      </c>
      <c r="AF12" s="308">
        <v>62</v>
      </c>
      <c r="AG12" s="309">
        <v>55</v>
      </c>
      <c r="AH12" s="271"/>
      <c r="AI12" s="398" t="s">
        <v>192</v>
      </c>
      <c r="AJ12" s="400"/>
      <c r="AK12" s="369" t="str">
        <f>AE17</f>
        <v>6 (x)</v>
      </c>
      <c r="AL12" s="401" t="s">
        <v>193</v>
      </c>
      <c r="AM12" s="403">
        <f>AE29</f>
        <v>25</v>
      </c>
      <c r="AN12" s="250"/>
      <c r="AO12" s="250"/>
      <c r="AP12" s="370" t="str">
        <f>AI12</f>
        <v>Section &gt;&gt;</v>
      </c>
      <c r="AQ12" s="373"/>
      <c r="AR12" s="376" t="str">
        <f>AK12</f>
        <v>6 (x)</v>
      </c>
      <c r="AS12" s="229">
        <f>AE33</f>
        <v>19.599999999999998</v>
      </c>
      <c r="AT12" s="249"/>
      <c r="AU12" s="673" t="s">
        <v>148</v>
      </c>
      <c r="AV12" s="664" t="s">
        <v>151</v>
      </c>
      <c r="AW12" s="664" t="s">
        <v>149</v>
      </c>
      <c r="AX12" s="666" t="s">
        <v>150</v>
      </c>
      <c r="AY12" s="569" t="s">
        <v>146</v>
      </c>
      <c r="AZ12" s="686" t="s">
        <v>147</v>
      </c>
      <c r="BA12" s="701" t="s">
        <v>237</v>
      </c>
      <c r="BB12" s="152"/>
      <c r="BC12" s="152"/>
      <c r="BD12" s="152"/>
      <c r="BE12" s="152"/>
      <c r="BF12" s="152"/>
      <c r="BG12" s="152"/>
      <c r="BH12" s="254"/>
      <c r="BI12" s="254"/>
      <c r="BJ12" s="370" t="str">
        <f>AI12</f>
        <v>Section &gt;&gt;</v>
      </c>
      <c r="BK12" s="380"/>
      <c r="BL12" s="384" t="str">
        <f>AR12</f>
        <v>6 (x)</v>
      </c>
      <c r="BM12" s="229">
        <f>AS12</f>
        <v>19.599999999999998</v>
      </c>
      <c r="BN12" s="250"/>
      <c r="BO12" s="656" t="s">
        <v>148</v>
      </c>
      <c r="BP12" s="647" t="s">
        <v>151</v>
      </c>
      <c r="BQ12" s="657" t="s">
        <v>149</v>
      </c>
      <c r="BR12" s="648" t="s">
        <v>150</v>
      </c>
      <c r="BS12" s="556" t="s">
        <v>146</v>
      </c>
      <c r="BT12" s="695" t="s">
        <v>147</v>
      </c>
      <c r="BU12" s="701" t="s">
        <v>239</v>
      </c>
      <c r="BV12" s="478"/>
      <c r="BW12" s="478"/>
      <c r="BX12" s="478"/>
      <c r="BY12" s="478"/>
      <c r="BZ12" s="478"/>
      <c r="CA12" s="478"/>
      <c r="CB12" s="250"/>
      <c r="CC12" s="250"/>
      <c r="CD12" s="543"/>
      <c r="CE12" s="544"/>
      <c r="CF12" s="545" t="str">
        <f>AR12</f>
        <v>6 (x)</v>
      </c>
      <c r="CG12" s="229">
        <f>AS12</f>
        <v>19.599999999999998</v>
      </c>
      <c r="CH12" s="250"/>
      <c r="CI12" s="631" t="s">
        <v>149</v>
      </c>
      <c r="CJ12" s="632" t="s">
        <v>235</v>
      </c>
      <c r="CK12" s="632" t="s">
        <v>236</v>
      </c>
      <c r="CL12" s="633" t="s">
        <v>158</v>
      </c>
      <c r="CM12" s="634" t="s">
        <v>159</v>
      </c>
      <c r="CN12" s="587" t="s">
        <v>204</v>
      </c>
      <c r="CO12" s="588" t="s">
        <v>234</v>
      </c>
      <c r="CP12" s="197"/>
      <c r="CQ12" s="631" t="s">
        <v>149</v>
      </c>
      <c r="CR12" s="632" t="s">
        <v>235</v>
      </c>
      <c r="CS12" s="632" t="s">
        <v>236</v>
      </c>
      <c r="CT12" s="633" t="s">
        <v>158</v>
      </c>
      <c r="CU12" s="634" t="s">
        <v>159</v>
      </c>
      <c r="CV12" s="587" t="s">
        <v>204</v>
      </c>
      <c r="CW12" s="588" t="s">
        <v>234</v>
      </c>
      <c r="CX12" s="608"/>
      <c r="CY12" s="250"/>
    </row>
    <row r="13" spans="1:104" ht="16.05" customHeight="1" thickTop="1" thickBot="1">
      <c r="A13" s="250"/>
      <c r="B13" s="723">
        <f t="shared" si="3"/>
        <v>0.12000000000000001</v>
      </c>
      <c r="C13" s="734">
        <f t="shared" si="4"/>
        <v>0.24596146328260113</v>
      </c>
      <c r="D13" s="250"/>
      <c r="E13" s="549"/>
      <c r="F13" s="550"/>
      <c r="G13" s="550" t="s">
        <v>23</v>
      </c>
      <c r="H13" s="318">
        <v>0.4</v>
      </c>
      <c r="I13" s="319">
        <v>0.4</v>
      </c>
      <c r="J13" s="319">
        <v>0.4</v>
      </c>
      <c r="K13" s="319">
        <v>0.4</v>
      </c>
      <c r="L13" s="320">
        <v>0.4</v>
      </c>
      <c r="M13" s="319">
        <v>0.4</v>
      </c>
      <c r="N13" s="319">
        <v>0.4</v>
      </c>
      <c r="O13" s="321">
        <v>0.4</v>
      </c>
      <c r="P13" s="291"/>
      <c r="Q13" s="230">
        <f>Q14+1</f>
        <v>19</v>
      </c>
      <c r="R13" s="340">
        <v>0</v>
      </c>
      <c r="S13" s="362">
        <v>4</v>
      </c>
      <c r="T13" s="340">
        <v>20</v>
      </c>
      <c r="U13" s="413"/>
      <c r="V13" s="495"/>
      <c r="W13" s="250"/>
      <c r="X13" s="250"/>
      <c r="Y13" s="250"/>
      <c r="Z13" s="494"/>
      <c r="AA13" s="250"/>
      <c r="AB13" s="250"/>
      <c r="AC13" s="250"/>
      <c r="AD13" s="250"/>
      <c r="AE13" s="250"/>
      <c r="AF13" s="250"/>
      <c r="AG13" s="250"/>
      <c r="AH13" s="276"/>
      <c r="AI13" s="230">
        <f>AI14+1</f>
        <v>19</v>
      </c>
      <c r="AJ13" s="340">
        <v>0</v>
      </c>
      <c r="AK13" s="386" t="str">
        <f xml:space="preserve"> IF(AJ13&lt;=0, "XX", Z$29 + AA$29 + AB$29 + AC$29 + AD$29 +AJ13)</f>
        <v>XX</v>
      </c>
      <c r="AL13" s="26" t="str">
        <f>IF(AK13="XX", "XX", $Z$11 + Z$34 + AA$34 + AB$34 +AC$34 + AD$34 + AJ13*AE$21)</f>
        <v>XX</v>
      </c>
      <c r="AM13" s="402" t="str">
        <f t="shared" si="5"/>
        <v>XX</v>
      </c>
      <c r="AN13" s="250"/>
      <c r="AO13" s="250"/>
      <c r="AP13" s="219">
        <f t="shared" ref="AP13:AP16" si="11">AI13</f>
        <v>19</v>
      </c>
      <c r="AQ13" s="239" t="str">
        <f t="shared" ref="AQ13:AQ16" si="12">AK13</f>
        <v>XX</v>
      </c>
      <c r="AR13" s="371" t="str">
        <f>'SMMR-Calcs'!AH26</f>
        <v>XX</v>
      </c>
      <c r="AS13" s="240"/>
      <c r="AT13" s="248"/>
      <c r="AU13" s="644" t="str">
        <f>'SMMR-Calcs'!J26</f>
        <v>XX</v>
      </c>
      <c r="AV13" s="616" t="str">
        <f>'SMMR-Calcs'!K26</f>
        <v>XX</v>
      </c>
      <c r="AW13" s="616" t="str">
        <f>'SMMR-Calcs'!L26</f>
        <v>XX</v>
      </c>
      <c r="AX13" s="645" t="str">
        <f>'SMMR-Calcs'!R26</f>
        <v>XX</v>
      </c>
      <c r="AY13" s="215" t="str">
        <f>'SMMR-Calcs'!AO26</f>
        <v>XX</v>
      </c>
      <c r="AZ13" s="682" t="str">
        <f>'SMMR-Calcs'!AP26</f>
        <v>XX</v>
      </c>
      <c r="BA13" s="699" t="str">
        <f t="shared" ref="BA13:BA16" si="13">IF(AK13="XX", "XX", AY13*1.08*$AF$10/12000)</f>
        <v>XX</v>
      </c>
      <c r="BB13" s="600"/>
      <c r="BC13" s="600"/>
      <c r="BD13" s="600"/>
      <c r="BE13" s="600"/>
      <c r="BF13" s="600"/>
      <c r="BG13" s="600"/>
      <c r="BH13" s="254"/>
      <c r="BI13" s="254"/>
      <c r="BJ13" s="219">
        <f t="shared" ref="BJ13:BL16" si="14">AP13</f>
        <v>19</v>
      </c>
      <c r="BK13" s="25" t="str">
        <f t="shared" si="14"/>
        <v>XX</v>
      </c>
      <c r="BL13" s="383" t="str">
        <f t="shared" si="14"/>
        <v>XX</v>
      </c>
      <c r="BM13" s="240"/>
      <c r="BN13" s="250"/>
      <c r="BO13" s="649" t="str">
        <f>'WNTR-Calcs'!J26</f>
        <v>XX</v>
      </c>
      <c r="BP13" s="650" t="str">
        <f>'WNTR-Calcs'!K26</f>
        <v>XX</v>
      </c>
      <c r="BQ13" s="658" t="str">
        <f>'WNTR-Calcs'!L26</f>
        <v>XX</v>
      </c>
      <c r="BR13" s="645" t="str">
        <f>'WNTR-Calcs'!R26</f>
        <v>XX</v>
      </c>
      <c r="BS13" s="215" t="str">
        <f>'WNTR-Calcs'!AO26</f>
        <v>XX</v>
      </c>
      <c r="BT13" s="694" t="str">
        <f>'WNTR-Calcs'!AP26</f>
        <v>XX</v>
      </c>
      <c r="BU13" s="699" t="str">
        <f>IF(BK13="XX", "XX", BS13*1.08*$AG$10/1000)</f>
        <v>XX</v>
      </c>
      <c r="BV13" s="602"/>
      <c r="BW13" s="602"/>
      <c r="BX13" s="602"/>
      <c r="BY13" s="602"/>
      <c r="BZ13" s="602"/>
      <c r="CA13" s="602"/>
      <c r="CB13" s="250"/>
      <c r="CC13" s="250"/>
      <c r="CD13" s="219">
        <f t="shared" ref="CD13:CF16" si="15">AP13</f>
        <v>19</v>
      </c>
      <c r="CE13" s="551" t="str">
        <f t="shared" si="15"/>
        <v>XX</v>
      </c>
      <c r="CF13" s="551" t="str">
        <f t="shared" si="15"/>
        <v>XX</v>
      </c>
      <c r="CG13" s="562"/>
      <c r="CH13" s="250"/>
      <c r="CI13" s="615" t="str">
        <f>'SMMR-Calcs'!L26</f>
        <v>XX</v>
      </c>
      <c r="CJ13" s="616" t="str">
        <f>'SMMR-Calcs'!Q26</f>
        <v>XX</v>
      </c>
      <c r="CK13" s="616" t="str">
        <f>'SMMR-Calcs'!S26</f>
        <v>XX</v>
      </c>
      <c r="CL13" s="617" t="str">
        <f>IF(AK13="XX", "XX", AY13)</f>
        <v>XX</v>
      </c>
      <c r="CM13" s="618" t="str">
        <f>IF(AK13="XX",  "XX", CL13*60/CJ13)</f>
        <v>XX</v>
      </c>
      <c r="CN13" s="585" t="str">
        <f>'SMMR-Calcs'!AQ26</f>
        <v>XX</v>
      </c>
      <c r="CO13" s="586" t="str">
        <f>'SMMR-Calcs'!AR26</f>
        <v>XX</v>
      </c>
      <c r="CP13" s="197"/>
      <c r="CQ13" s="615" t="str">
        <f>'WNTR-Calcs'!L26</f>
        <v>XX</v>
      </c>
      <c r="CR13" s="616" t="str">
        <f>'WNTR-Calcs'!Q26</f>
        <v>XX</v>
      </c>
      <c r="CS13" s="616" t="str">
        <f>'WNTR-Calcs'!S26</f>
        <v>XX</v>
      </c>
      <c r="CT13" s="617" t="str">
        <f>IF(AR13="XX", "XX", BS13)</f>
        <v>XX</v>
      </c>
      <c r="CU13" s="618" t="str">
        <f>IF(AR13="XX",  "XX", CT13*60/CR13)</f>
        <v>XX</v>
      </c>
      <c r="CV13" s="585" t="str">
        <f>'WNTR-Calcs'!AQ26</f>
        <v>XX</v>
      </c>
      <c r="CW13" s="586" t="str">
        <f>'WNTR-Calcs'!AR26</f>
        <v>XX</v>
      </c>
      <c r="CX13" s="609"/>
      <c r="CY13" s="250"/>
    </row>
    <row r="14" spans="1:104" ht="16.05" customHeight="1">
      <c r="A14" s="250"/>
      <c r="B14" s="723">
        <f t="shared" si="3"/>
        <v>0.14000000000000001</v>
      </c>
      <c r="C14" s="734">
        <f t="shared" si="4"/>
        <v>0.286955040496368</v>
      </c>
      <c r="D14" s="250"/>
      <c r="E14" s="549"/>
      <c r="F14" s="550"/>
      <c r="G14" s="550" t="s">
        <v>24</v>
      </c>
      <c r="H14" s="333">
        <v>0.6</v>
      </c>
      <c r="I14" s="334">
        <v>0.6</v>
      </c>
      <c r="J14" s="334">
        <v>0.6</v>
      </c>
      <c r="K14" s="334">
        <v>0.6</v>
      </c>
      <c r="L14" s="335">
        <v>0.6</v>
      </c>
      <c r="M14" s="334">
        <v>0.6</v>
      </c>
      <c r="N14" s="334">
        <v>0.6</v>
      </c>
      <c r="O14" s="336">
        <v>0.6</v>
      </c>
      <c r="P14" s="251"/>
      <c r="Q14" s="230">
        <f>Q15+1</f>
        <v>18</v>
      </c>
      <c r="R14" s="342">
        <v>25</v>
      </c>
      <c r="S14" s="364">
        <v>3</v>
      </c>
      <c r="T14" s="342">
        <v>15</v>
      </c>
      <c r="U14" s="413"/>
      <c r="V14" s="495"/>
      <c r="W14" s="234" t="s">
        <v>32</v>
      </c>
      <c r="X14" s="515" t="s">
        <v>33</v>
      </c>
      <c r="Y14" s="570" t="s">
        <v>34</v>
      </c>
      <c r="Z14" s="515" t="s">
        <v>35</v>
      </c>
      <c r="AA14" s="571"/>
      <c r="AB14" s="322" t="s">
        <v>170</v>
      </c>
      <c r="AC14" s="571"/>
      <c r="AD14" s="322" t="s">
        <v>171</v>
      </c>
      <c r="AE14" s="571"/>
      <c r="AF14" s="322" t="s">
        <v>172</v>
      </c>
      <c r="AG14" s="572" t="s">
        <v>169</v>
      </c>
      <c r="AH14" s="277"/>
      <c r="AI14" s="230">
        <f>AI15+1</f>
        <v>18</v>
      </c>
      <c r="AJ14" s="342">
        <v>25</v>
      </c>
      <c r="AK14" s="388">
        <f xml:space="preserve"> IF(AJ14&lt;=0, "XX", Z$29 + AA$29 + AB$29 + AC$29 + AD$29 +AJ14)</f>
        <v>83</v>
      </c>
      <c r="AL14" s="26">
        <f>IF(AK14="XX", "XX", $Z$11 + Z$34 + AA$34 + AB$34 +AC$34 + AD$34 + AJ14*AE$21)</f>
        <v>1589</v>
      </c>
      <c r="AM14" s="392">
        <f t="shared" si="5"/>
        <v>484.3272</v>
      </c>
      <c r="AN14" s="250"/>
      <c r="AO14" s="250"/>
      <c r="AP14" s="219">
        <f t="shared" si="11"/>
        <v>18</v>
      </c>
      <c r="AQ14" s="239">
        <f t="shared" si="12"/>
        <v>83</v>
      </c>
      <c r="AR14" s="787">
        <f>'SMMR-Calcs'!AH27</f>
        <v>1089</v>
      </c>
      <c r="AS14" s="243"/>
      <c r="AT14" s="248"/>
      <c r="AU14" s="644">
        <f>'SMMR-Calcs'!J27</f>
        <v>13.871516393765672</v>
      </c>
      <c r="AV14" s="616">
        <f>'SMMR-Calcs'!K27</f>
        <v>9.1596638655462179</v>
      </c>
      <c r="AW14" s="616">
        <f>'SMMR-Calcs'!L27</f>
        <v>91.123159999999999</v>
      </c>
      <c r="AX14" s="645">
        <f>'SMMR-Calcs'!R27</f>
        <v>6.679114970834496E-2</v>
      </c>
      <c r="AY14" s="215">
        <f>'SMMR-Calcs'!AO27</f>
        <v>447.70021758811271</v>
      </c>
      <c r="AZ14" s="682">
        <f>'SMMR-Calcs'!AP27</f>
        <v>5.3297644950965797E-2</v>
      </c>
      <c r="BA14" s="699">
        <f t="shared" si="13"/>
        <v>107.9852924822528</v>
      </c>
      <c r="BB14" s="600"/>
      <c r="BC14" s="600"/>
      <c r="BD14" s="600"/>
      <c r="BE14" s="600"/>
      <c r="BF14" s="600"/>
      <c r="BG14" s="600"/>
      <c r="BH14" s="254"/>
      <c r="BI14" s="254"/>
      <c r="BJ14" s="219">
        <f t="shared" si="14"/>
        <v>18</v>
      </c>
      <c r="BK14" s="25">
        <f t="shared" si="14"/>
        <v>83</v>
      </c>
      <c r="BL14" s="263">
        <f t="shared" si="14"/>
        <v>1089</v>
      </c>
      <c r="BM14" s="243"/>
      <c r="BN14" s="250"/>
      <c r="BO14" s="649" t="str">
        <f>'WNTR-Calcs'!J26</f>
        <v>XX</v>
      </c>
      <c r="BP14" s="650" t="str">
        <f>'WNTR-Calcs'!K26</f>
        <v>XX</v>
      </c>
      <c r="BQ14" s="658" t="str">
        <f>'WNTR-Calcs'!L26</f>
        <v>XX</v>
      </c>
      <c r="BR14" s="645" t="str">
        <f>'WNTR-Calcs'!R26</f>
        <v>XX</v>
      </c>
      <c r="BS14" s="215">
        <f>'WNTR-Calcs'!AO27</f>
        <v>-1353.051950584904</v>
      </c>
      <c r="BT14" s="694">
        <f>'WNTR-Calcs'!AP27</f>
        <v>-0.16107761316486952</v>
      </c>
      <c r="BU14" s="699">
        <f>IF(BK14="XX", "XX", BS14*1.08*$AG$10/1000)</f>
        <v>-11662.604227027568</v>
      </c>
      <c r="BV14" s="602"/>
      <c r="BW14" s="602"/>
      <c r="BX14" s="602"/>
      <c r="BY14" s="602"/>
      <c r="BZ14" s="602"/>
      <c r="CA14" s="602"/>
      <c r="CB14" s="250"/>
      <c r="CC14" s="250"/>
      <c r="CD14" s="219">
        <f t="shared" si="15"/>
        <v>18</v>
      </c>
      <c r="CE14" s="551">
        <f t="shared" si="15"/>
        <v>83</v>
      </c>
      <c r="CF14" s="551">
        <f t="shared" si="15"/>
        <v>1089</v>
      </c>
      <c r="CG14" s="552"/>
      <c r="CH14" s="250"/>
      <c r="CI14" s="615">
        <f>'SMMR-Calcs'!L27</f>
        <v>91.123159999999999</v>
      </c>
      <c r="CJ14" s="616">
        <f>'SMMR-Calcs'!Q27</f>
        <v>14.972043517242508</v>
      </c>
      <c r="CK14" s="616">
        <f>'SMMR-Calcs'!S27</f>
        <v>35.914589088003709</v>
      </c>
      <c r="CL14" s="617">
        <f>IF(AK14="XX", "XX", AY14)</f>
        <v>447.70021758811271</v>
      </c>
      <c r="CM14" s="618">
        <f>IF(AK14="XX",  "XX", CL14*60/CJ14)</f>
        <v>1794.144735443175</v>
      </c>
      <c r="CN14" s="585">
        <f>'SMMR-Calcs'!AQ27</f>
        <v>7795.8096194245918</v>
      </c>
      <c r="CO14" s="586">
        <f>'SMMR-Calcs'!AR27</f>
        <v>1450.5487049854853</v>
      </c>
      <c r="CP14" s="197"/>
      <c r="CQ14" s="615">
        <f>'WNTR-Calcs'!L27</f>
        <v>-19.876840000000001</v>
      </c>
      <c r="CR14" s="616">
        <f>'WNTR-Calcs'!Q27</f>
        <v>11.721757755312593</v>
      </c>
      <c r="CS14" s="616">
        <f>'WNTR-Calcs'!S27</f>
        <v>-4.3794105925646862</v>
      </c>
      <c r="CT14" s="617">
        <f>IF(AR14="XX", "XX", BS14)</f>
        <v>-1353.051950584904</v>
      </c>
      <c r="CU14" s="618">
        <f>IF(AR14="XX",  "XX", CT14*60/CR14)</f>
        <v>-6925.8483863736246</v>
      </c>
      <c r="CV14" s="585">
        <f>'WNTR-Calcs'!AQ27</f>
        <v>134259.2685816233</v>
      </c>
      <c r="CW14" s="586">
        <f>'WNTR-Calcs'!AR27</f>
        <v>-4383.8883198950889</v>
      </c>
      <c r="CX14" s="609"/>
      <c r="CY14" s="250"/>
    </row>
    <row r="15" spans="1:104" ht="16.05" customHeight="1" thickBot="1">
      <c r="A15" s="250"/>
      <c r="B15" s="723">
        <f t="shared" si="3"/>
        <v>0.16</v>
      </c>
      <c r="C15" s="734">
        <f t="shared" si="4"/>
        <v>0.32794861771013484</v>
      </c>
      <c r="D15" s="250"/>
      <c r="E15" s="560"/>
      <c r="F15" s="561"/>
      <c r="G15" s="568" t="s">
        <v>145</v>
      </c>
      <c r="H15" s="337">
        <v>0</v>
      </c>
      <c r="I15" s="338">
        <v>5.0000000000000001E-3</v>
      </c>
      <c r="J15" s="338">
        <v>5.0000000000000001E-3</v>
      </c>
      <c r="K15" s="338">
        <v>5.0000000000000001E-3</v>
      </c>
      <c r="L15" s="338">
        <v>5.0000000000000001E-3</v>
      </c>
      <c r="M15" s="338">
        <v>5.0000000000000001E-3</v>
      </c>
      <c r="N15" s="338">
        <v>5.0000000000000001E-3</v>
      </c>
      <c r="O15" s="339">
        <v>5.0000000000000001E-3</v>
      </c>
      <c r="P15" s="251"/>
      <c r="Q15" s="230">
        <f>Q16+1</f>
        <v>17</v>
      </c>
      <c r="R15" s="342">
        <v>15</v>
      </c>
      <c r="S15" s="364">
        <v>2</v>
      </c>
      <c r="T15" s="342">
        <v>10</v>
      </c>
      <c r="U15" s="413"/>
      <c r="V15" s="495"/>
      <c r="W15" s="198">
        <f>+SUM(Z29:AG29)</f>
        <v>102</v>
      </c>
      <c r="X15" s="595">
        <f>SUM(Z34:AG34)</f>
        <v>1309</v>
      </c>
      <c r="Y15" s="199">
        <f>X15/2</f>
        <v>654.5</v>
      </c>
      <c r="Z15" s="595">
        <f>Z11</f>
        <v>500</v>
      </c>
      <c r="AA15" s="1803">
        <f>SUM(Z35:AG35)</f>
        <v>2782800</v>
      </c>
      <c r="AB15" s="1803"/>
      <c r="AC15" s="1803">
        <f>SUM(Z36:AC36)</f>
        <v>584440</v>
      </c>
      <c r="AD15" s="1803"/>
      <c r="AE15" s="1803">
        <f>SUM(Z37:AC37)</f>
        <v>1633.42</v>
      </c>
      <c r="AF15" s="1803"/>
      <c r="AG15" s="323">
        <f>100*AE15/AC15</f>
        <v>0.27948463486414343</v>
      </c>
      <c r="AH15" s="273"/>
      <c r="AI15" s="230">
        <f>AI16+1</f>
        <v>17</v>
      </c>
      <c r="AJ15" s="342">
        <v>15</v>
      </c>
      <c r="AK15" s="388">
        <f xml:space="preserve"> IF(AJ15&lt;=0, "XX", Z$29 + AA$29 + AB$29 + AC$29 + AD$29 +AJ15)</f>
        <v>73</v>
      </c>
      <c r="AL15" s="26">
        <f>IF(AK15="XX", "XX", $Z$11 + Z$34 + AA$34 + AB$34 +AC$34 + AD$34 + AJ15*AE$21)</f>
        <v>1489</v>
      </c>
      <c r="AM15" s="392">
        <f t="shared" si="5"/>
        <v>453.84720000000004</v>
      </c>
      <c r="AN15" s="250"/>
      <c r="AO15" s="250"/>
      <c r="AP15" s="219">
        <f t="shared" si="11"/>
        <v>17</v>
      </c>
      <c r="AQ15" s="239">
        <f t="shared" si="12"/>
        <v>73</v>
      </c>
      <c r="AR15" s="239">
        <f>'SMMR-Calcs'!AH28</f>
        <v>989</v>
      </c>
      <c r="AS15" s="243"/>
      <c r="AT15" s="248"/>
      <c r="AU15" s="644">
        <f>'SMMR-Calcs'!J28</f>
        <v>13.922269315595049</v>
      </c>
      <c r="AV15" s="616">
        <f>'SMMR-Calcs'!K28</f>
        <v>8.7776928953399533</v>
      </c>
      <c r="AW15" s="616">
        <f>'SMMR-Calcs'!L28</f>
        <v>91.479160000000007</v>
      </c>
      <c r="AX15" s="645">
        <f>'SMMR-Calcs'!R28</f>
        <v>6.6976464010991985E-2</v>
      </c>
      <c r="AY15" s="215">
        <f>'SMMR-Calcs'!AO28</f>
        <v>372.06976647392906</v>
      </c>
      <c r="AZ15" s="682">
        <f>'SMMR-Calcs'!AP28</f>
        <v>4.4294019818324891E-2</v>
      </c>
      <c r="BA15" s="699">
        <f t="shared" si="13"/>
        <v>89.743227673511697</v>
      </c>
      <c r="BB15" s="600"/>
      <c r="BC15" s="600"/>
      <c r="BD15" s="600"/>
      <c r="BE15" s="600"/>
      <c r="BF15" s="600"/>
      <c r="BG15" s="600"/>
      <c r="BH15" s="254"/>
      <c r="BI15" s="254"/>
      <c r="BJ15" s="219">
        <f t="shared" si="14"/>
        <v>17</v>
      </c>
      <c r="BK15" s="25">
        <f t="shared" si="14"/>
        <v>73</v>
      </c>
      <c r="BL15" s="263">
        <f t="shared" si="14"/>
        <v>989</v>
      </c>
      <c r="BM15" s="243"/>
      <c r="BN15" s="250"/>
      <c r="BO15" s="649">
        <f>'WNTR-Calcs'!J27</f>
        <v>13.871516393765672</v>
      </c>
      <c r="BP15" s="650">
        <f>'WNTR-Calcs'!K27</f>
        <v>19.159663865546218</v>
      </c>
      <c r="BQ15" s="658">
        <f>'WNTR-Calcs'!L27</f>
        <v>-19.876840000000001</v>
      </c>
      <c r="BR15" s="645">
        <f>'WNTR-Calcs'!R27</f>
        <v>8.5311437147451291E-2</v>
      </c>
      <c r="BS15" s="215">
        <f>'WNTR-Calcs'!AO28</f>
        <v>-1193.9411127193707</v>
      </c>
      <c r="BT15" s="694">
        <f>'WNTR-Calcs'!AP28</f>
        <v>-0.14213584675230603</v>
      </c>
      <c r="BU15" s="699">
        <f>IF(BK15="XX", "XX", BS15*1.08*$AG$10/1000)</f>
        <v>-10291.151542262362</v>
      </c>
      <c r="BV15" s="602"/>
      <c r="BW15" s="602"/>
      <c r="BX15" s="602"/>
      <c r="BY15" s="602"/>
      <c r="BZ15" s="602"/>
      <c r="CA15" s="602"/>
      <c r="CB15" s="250"/>
      <c r="CC15" s="250"/>
      <c r="CD15" s="219">
        <f t="shared" si="15"/>
        <v>17</v>
      </c>
      <c r="CE15" s="551">
        <f t="shared" si="15"/>
        <v>73</v>
      </c>
      <c r="CF15" s="551">
        <f t="shared" si="15"/>
        <v>989</v>
      </c>
      <c r="CG15" s="552"/>
      <c r="CH15" s="250"/>
      <c r="CI15" s="615">
        <f>'SMMR-Calcs'!L28</f>
        <v>91.479160000000007</v>
      </c>
      <c r="CJ15" s="616">
        <f>'SMMR-Calcs'!Q28</f>
        <v>14.930618012857217</v>
      </c>
      <c r="CK15" s="616">
        <f>'SMMR-Calcs'!S28</f>
        <v>36.166604641030766</v>
      </c>
      <c r="CL15" s="617">
        <f>IF(AK15="XX", "XX", AY15)</f>
        <v>372.06976647392906</v>
      </c>
      <c r="CM15" s="618">
        <f>IF(AK15="XX",  "XX", CL15*60/CJ15)</f>
        <v>1495.195039429158</v>
      </c>
      <c r="CN15" s="585">
        <f>'SMMR-Calcs'!AQ28</f>
        <v>6621.9089899174369</v>
      </c>
      <c r="CO15" s="586">
        <f>'SMMR-Calcs'!AR28</f>
        <v>1205.5060433755302</v>
      </c>
      <c r="CP15" s="197"/>
      <c r="CQ15" s="615">
        <f>'WNTR-Calcs'!L28</f>
        <v>-19.52084</v>
      </c>
      <c r="CR15" s="616">
        <f>'WNTR-Calcs'!Q28</f>
        <v>11.688583648017985</v>
      </c>
      <c r="CS15" s="616">
        <f>'WNTR-Calcs'!S28</f>
        <v>-4.2880976832351578</v>
      </c>
      <c r="CT15" s="617">
        <f>IF(AR15="XX", "XX", BS15)</f>
        <v>-1193.9411127193707</v>
      </c>
      <c r="CU15" s="618">
        <f>IF(AR15="XX",  "XX", CT15*60/CR15)</f>
        <v>-6128.7551101462604</v>
      </c>
      <c r="CV15" s="585">
        <f>'WNTR-Calcs'!AQ28</f>
        <v>118012.13303034041</v>
      </c>
      <c r="CW15" s="586">
        <f>'WNTR-Calcs'!AR28</f>
        <v>-3868.3692052107617</v>
      </c>
      <c r="CX15" s="609"/>
      <c r="CY15" s="250"/>
    </row>
    <row r="16" spans="1:104" ht="16.05" customHeight="1" thickBot="1">
      <c r="A16" s="250"/>
      <c r="B16" s="723">
        <f t="shared" si="3"/>
        <v>0.18</v>
      </c>
      <c r="C16" s="734">
        <f t="shared" si="4"/>
        <v>0.36894219492390168</v>
      </c>
      <c r="D16" s="250"/>
      <c r="E16" s="250"/>
      <c r="F16" s="250"/>
      <c r="G16" s="250"/>
      <c r="H16" s="494"/>
      <c r="I16" s="250"/>
      <c r="J16" s="250"/>
      <c r="K16" s="250"/>
      <c r="L16" s="250"/>
      <c r="M16" s="250"/>
      <c r="N16" s="250"/>
      <c r="O16" s="250"/>
      <c r="P16" s="66"/>
      <c r="Q16" s="231">
        <f>Q18+1</f>
        <v>16</v>
      </c>
      <c r="R16" s="341">
        <v>5</v>
      </c>
      <c r="S16" s="363">
        <v>1</v>
      </c>
      <c r="T16" s="341">
        <v>5</v>
      </c>
      <c r="U16" s="414"/>
      <c r="V16" s="495"/>
      <c r="W16" s="250"/>
      <c r="X16" s="250"/>
      <c r="Y16" s="250"/>
      <c r="Z16" s="494"/>
      <c r="AA16" s="250"/>
      <c r="AB16" s="250"/>
      <c r="AC16" s="250"/>
      <c r="AD16" s="250"/>
      <c r="AE16" s="250"/>
      <c r="AF16" s="250"/>
      <c r="AG16" s="250"/>
      <c r="AH16" s="278"/>
      <c r="AI16" s="231">
        <f>AI18+1</f>
        <v>16</v>
      </c>
      <c r="AJ16" s="341">
        <v>5</v>
      </c>
      <c r="AK16" s="387">
        <f xml:space="preserve"> IF(AJ16&lt;=0, "XX", Z$29 + AA$29 + AB$29 + AC$29 + AD$29 +AJ16)</f>
        <v>63</v>
      </c>
      <c r="AL16" s="393">
        <f>IF(AK16="XX", "XX", $Z$11 + Z$34 + AA$34 + AB$34 +AC$34 + AD$34 + AJ16*AE$21)</f>
        <v>1389</v>
      </c>
      <c r="AM16" s="394">
        <f t="shared" si="5"/>
        <v>423.36720000000003</v>
      </c>
      <c r="AN16" s="250"/>
      <c r="AO16" s="250"/>
      <c r="AP16" s="220">
        <f t="shared" si="11"/>
        <v>16</v>
      </c>
      <c r="AQ16" s="239">
        <f t="shared" si="12"/>
        <v>63</v>
      </c>
      <c r="AR16" s="241">
        <f>'SMMR-Calcs'!AH29</f>
        <v>889</v>
      </c>
      <c r="AS16" s="242"/>
      <c r="AT16" s="248"/>
      <c r="AU16" s="674">
        <f>'SMMR-Calcs'!J29</f>
        <v>13.973172493686446</v>
      </c>
      <c r="AV16" s="620">
        <f>'SMMR-Calcs'!K29</f>
        <v>8.3957219251336888</v>
      </c>
      <c r="AW16" s="620">
        <f>'SMMR-Calcs'!L29</f>
        <v>91.835160000000002</v>
      </c>
      <c r="AX16" s="655">
        <f>'SMMR-Calcs'!R29</f>
        <v>6.7162042066162789E-2</v>
      </c>
      <c r="AY16" s="216">
        <f>'SMMR-Calcs'!AO29</f>
        <v>270.95884156421829</v>
      </c>
      <c r="AZ16" s="683">
        <f>'SMMR-Calcs'!AP29</f>
        <v>3.2257004948121226E-2</v>
      </c>
      <c r="BA16" s="699">
        <f t="shared" si="13"/>
        <v>65.355272585289455</v>
      </c>
      <c r="BB16" s="600"/>
      <c r="BC16" s="600"/>
      <c r="BD16" s="600"/>
      <c r="BE16" s="600"/>
      <c r="BF16" s="600"/>
      <c r="BG16" s="600"/>
      <c r="BH16" s="254"/>
      <c r="BI16" s="254"/>
      <c r="BJ16" s="221">
        <f t="shared" si="14"/>
        <v>16</v>
      </c>
      <c r="BK16" s="266">
        <f t="shared" si="14"/>
        <v>63</v>
      </c>
      <c r="BL16" s="265">
        <f t="shared" si="14"/>
        <v>889</v>
      </c>
      <c r="BM16" s="242"/>
      <c r="BN16" s="250"/>
      <c r="BO16" s="649">
        <f>'WNTR-Calcs'!J28</f>
        <v>13.922269315595049</v>
      </c>
      <c r="BP16" s="650">
        <f>'WNTR-Calcs'!K28</f>
        <v>18.777692895339953</v>
      </c>
      <c r="BQ16" s="658">
        <f>'WNTR-Calcs'!L28</f>
        <v>-19.52084</v>
      </c>
      <c r="BR16" s="645">
        <f>'WNTR-Calcs'!R28</f>
        <v>8.5553564923973355E-2</v>
      </c>
      <c r="BS16" s="215">
        <f>'WNTR-Calcs'!AO29</f>
        <v>-1011.562412451962</v>
      </c>
      <c r="BT16" s="694">
        <f>'WNTR-Calcs'!AP29</f>
        <v>-0.12042409672047166</v>
      </c>
      <c r="BU16" s="704">
        <f>IF(BK16="XX", "XX", BS16*1.08*$AG$10/1000)</f>
        <v>-8719.1419828814378</v>
      </c>
      <c r="BV16" s="602"/>
      <c r="BW16" s="602"/>
      <c r="BX16" s="602"/>
      <c r="BY16" s="602"/>
      <c r="BZ16" s="602"/>
      <c r="CA16" s="602"/>
      <c r="CB16" s="250"/>
      <c r="CC16" s="250"/>
      <c r="CD16" s="220">
        <f t="shared" si="15"/>
        <v>16</v>
      </c>
      <c r="CE16" s="554">
        <f t="shared" si="15"/>
        <v>63</v>
      </c>
      <c r="CF16" s="554">
        <f t="shared" si="15"/>
        <v>889</v>
      </c>
      <c r="CG16" s="555"/>
      <c r="CH16" s="250"/>
      <c r="CI16" s="619">
        <f>'SMMR-Calcs'!L29</f>
        <v>91.835160000000002</v>
      </c>
      <c r="CJ16" s="628">
        <f>'SMMR-Calcs'!Q29</f>
        <v>14.889362640505752</v>
      </c>
      <c r="CK16" s="628">
        <f>'SMMR-Calcs'!S29</f>
        <v>36.419832200598599</v>
      </c>
      <c r="CL16" s="621">
        <f>IF(AK16="XX", "XX", AY16)</f>
        <v>270.95884156421829</v>
      </c>
      <c r="CM16" s="622">
        <f>IF(AK16="XX",  "XX", CL16*60/CJ16)</f>
        <v>1091.888946920086</v>
      </c>
      <c r="CN16" s="585">
        <f>'SMMR-Calcs'!AQ29</f>
        <v>4926.5662872401272</v>
      </c>
      <c r="CO16" s="586">
        <f>'SMMR-Calcs'!AR29</f>
        <v>877.90664666806731</v>
      </c>
      <c r="CP16" s="197"/>
      <c r="CQ16" s="615">
        <f>'WNTR-Calcs'!L29</f>
        <v>-19.164839999999998</v>
      </c>
      <c r="CR16" s="616">
        <f>'WNTR-Calcs'!Q29</f>
        <v>11.655526684625686</v>
      </c>
      <c r="CS16" s="616">
        <f>'WNTR-Calcs'!S29</f>
        <v>-4.1967087530418361</v>
      </c>
      <c r="CT16" s="617">
        <f>IF(AR16="XX", "XX", BS16)</f>
        <v>-1011.562412451962</v>
      </c>
      <c r="CU16" s="618">
        <f>IF(AR16="XX",  "XX", CT16*60/CR16)</f>
        <v>-5207.2931914073242</v>
      </c>
      <c r="CV16" s="585">
        <f>'WNTR-Calcs'!AQ29</f>
        <v>99596.439519692896</v>
      </c>
      <c r="CW16" s="586">
        <f>'WNTR-Calcs'!AR29</f>
        <v>-3277.4622163443569</v>
      </c>
      <c r="CX16" s="609"/>
      <c r="CY16" s="250"/>
    </row>
    <row r="17" spans="1:103" ht="16.05" customHeight="1" thickTop="1" thickBot="1">
      <c r="A17" s="250"/>
      <c r="B17" s="723">
        <f t="shared" si="3"/>
        <v>0.19999999999999998</v>
      </c>
      <c r="C17" s="734">
        <f t="shared" si="4"/>
        <v>0.40993577213766852</v>
      </c>
      <c r="D17" s="250"/>
      <c r="E17" s="546" t="s">
        <v>165</v>
      </c>
      <c r="F17" s="547"/>
      <c r="G17" s="548" t="s">
        <v>88</v>
      </c>
      <c r="H17" s="312" t="s">
        <v>180</v>
      </c>
      <c r="I17" s="313" t="s">
        <v>181</v>
      </c>
      <c r="J17" s="313" t="s">
        <v>182</v>
      </c>
      <c r="K17" s="313" t="s">
        <v>183</v>
      </c>
      <c r="L17" s="314" t="s">
        <v>184</v>
      </c>
      <c r="M17" s="313" t="s">
        <v>44</v>
      </c>
      <c r="N17" s="313" t="s">
        <v>185</v>
      </c>
      <c r="O17" s="317" t="s">
        <v>41</v>
      </c>
      <c r="P17" s="270"/>
      <c r="Q17" s="709"/>
      <c r="R17" s="406"/>
      <c r="S17" s="409"/>
      <c r="T17" s="407"/>
      <c r="U17" s="413"/>
      <c r="V17" s="495"/>
      <c r="W17" s="546"/>
      <c r="X17" s="547"/>
      <c r="Y17" s="534" t="s">
        <v>178</v>
      </c>
      <c r="Z17" s="312">
        <v>1</v>
      </c>
      <c r="AA17" s="313" t="s">
        <v>174</v>
      </c>
      <c r="AB17" s="313">
        <v>3</v>
      </c>
      <c r="AC17" s="313" t="s">
        <v>175</v>
      </c>
      <c r="AD17" s="314">
        <v>5</v>
      </c>
      <c r="AE17" s="313" t="s">
        <v>176</v>
      </c>
      <c r="AF17" s="313">
        <v>7</v>
      </c>
      <c r="AG17" s="315">
        <v>8</v>
      </c>
      <c r="AH17" s="272"/>
      <c r="AI17" s="398" t="s">
        <v>192</v>
      </c>
      <c r="AJ17" s="400"/>
      <c r="AK17" s="369">
        <f>AD17</f>
        <v>5</v>
      </c>
      <c r="AL17" s="401" t="s">
        <v>193</v>
      </c>
      <c r="AM17" s="403">
        <f>AD29</f>
        <v>5</v>
      </c>
      <c r="AN17" s="250"/>
      <c r="AO17" s="250"/>
      <c r="AP17" s="370" t="str">
        <f>AI17</f>
        <v>Section &gt;&gt;</v>
      </c>
      <c r="AQ17" s="238"/>
      <c r="AR17" s="375">
        <f>AK17</f>
        <v>5</v>
      </c>
      <c r="AS17" s="229">
        <f>AD33</f>
        <v>28.8</v>
      </c>
      <c r="AT17" s="249"/>
      <c r="AU17" s="646" t="s">
        <v>148</v>
      </c>
      <c r="AV17" s="647" t="s">
        <v>151</v>
      </c>
      <c r="AW17" s="647" t="s">
        <v>149</v>
      </c>
      <c r="AX17" s="648" t="s">
        <v>150</v>
      </c>
      <c r="AY17" s="556" t="s">
        <v>146</v>
      </c>
      <c r="AZ17" s="684" t="s">
        <v>147</v>
      </c>
      <c r="BA17" s="692" t="s">
        <v>237</v>
      </c>
      <c r="BB17" s="152"/>
      <c r="BC17" s="152"/>
      <c r="BD17" s="152"/>
      <c r="BE17" s="152"/>
      <c r="BF17" s="152"/>
      <c r="BG17" s="152"/>
      <c r="BH17" s="254"/>
      <c r="BI17" s="254"/>
      <c r="BJ17" s="370" t="str">
        <f>AI17</f>
        <v>Section &gt;&gt;</v>
      </c>
      <c r="BK17" s="259"/>
      <c r="BL17" s="384">
        <f>AR17</f>
        <v>5</v>
      </c>
      <c r="BM17" s="229">
        <f>AS17</f>
        <v>28.8</v>
      </c>
      <c r="BN17" s="250"/>
      <c r="BO17" s="656" t="s">
        <v>148</v>
      </c>
      <c r="BP17" s="647" t="s">
        <v>151</v>
      </c>
      <c r="BQ17" s="657" t="s">
        <v>149</v>
      </c>
      <c r="BR17" s="648" t="s">
        <v>150</v>
      </c>
      <c r="BS17" s="556" t="s">
        <v>146</v>
      </c>
      <c r="BT17" s="695" t="s">
        <v>147</v>
      </c>
      <c r="BU17" s="705" t="s">
        <v>239</v>
      </c>
      <c r="BV17" s="478"/>
      <c r="BW17" s="478"/>
      <c r="BX17" s="478"/>
      <c r="BY17" s="478"/>
      <c r="BZ17" s="478"/>
      <c r="CA17" s="478"/>
      <c r="CB17" s="250"/>
      <c r="CC17" s="250"/>
      <c r="CD17" s="557"/>
      <c r="CE17" s="558"/>
      <c r="CF17" s="559">
        <f>AR17</f>
        <v>5</v>
      </c>
      <c r="CG17" s="229">
        <f>AS17</f>
        <v>28.8</v>
      </c>
      <c r="CH17" s="250"/>
      <c r="CI17" s="623" t="s">
        <v>149</v>
      </c>
      <c r="CJ17" s="632" t="s">
        <v>235</v>
      </c>
      <c r="CK17" s="632" t="s">
        <v>236</v>
      </c>
      <c r="CL17" s="625" t="s">
        <v>158</v>
      </c>
      <c r="CM17" s="626" t="s">
        <v>159</v>
      </c>
      <c r="CN17" s="587" t="s">
        <v>204</v>
      </c>
      <c r="CO17" s="588" t="s">
        <v>234</v>
      </c>
      <c r="CP17" s="197"/>
      <c r="CQ17" s="623" t="s">
        <v>149</v>
      </c>
      <c r="CR17" s="632" t="s">
        <v>235</v>
      </c>
      <c r="CS17" s="632" t="s">
        <v>236</v>
      </c>
      <c r="CT17" s="625" t="s">
        <v>158</v>
      </c>
      <c r="CU17" s="626" t="s">
        <v>159</v>
      </c>
      <c r="CV17" s="587" t="s">
        <v>204</v>
      </c>
      <c r="CW17" s="588" t="s">
        <v>234</v>
      </c>
      <c r="CX17" s="608"/>
      <c r="CY17" s="250"/>
    </row>
    <row r="18" spans="1:103" ht="16.05" customHeight="1" thickTop="1">
      <c r="A18" s="250"/>
      <c r="B18" s="723">
        <f t="shared" si="3"/>
        <v>0.21999999999999997</v>
      </c>
      <c r="C18" s="734">
        <f t="shared" si="4"/>
        <v>0.4509293493514353</v>
      </c>
      <c r="D18" s="250"/>
      <c r="E18" s="549"/>
      <c r="F18" s="550"/>
      <c r="G18" s="553" t="s">
        <v>120</v>
      </c>
      <c r="H18" s="343" t="s">
        <v>110</v>
      </c>
      <c r="I18" s="344" t="s">
        <v>110</v>
      </c>
      <c r="J18" s="344" t="s">
        <v>110</v>
      </c>
      <c r="K18" s="344" t="s">
        <v>110</v>
      </c>
      <c r="L18" s="344" t="s">
        <v>110</v>
      </c>
      <c r="M18" s="344" t="s">
        <v>110</v>
      </c>
      <c r="N18" s="344" t="s">
        <v>110</v>
      </c>
      <c r="O18" s="347" t="s">
        <v>110</v>
      </c>
      <c r="P18" s="180"/>
      <c r="Q18" s="230">
        <f>Q19+1</f>
        <v>15</v>
      </c>
      <c r="R18" s="340">
        <v>5</v>
      </c>
      <c r="S18" s="365">
        <v>3</v>
      </c>
      <c r="T18" s="340">
        <v>5</v>
      </c>
      <c r="U18" s="413"/>
      <c r="V18" s="495"/>
      <c r="W18" s="549"/>
      <c r="X18" s="550"/>
      <c r="Y18" s="553" t="s">
        <v>120</v>
      </c>
      <c r="Z18" s="325" t="s">
        <v>108</v>
      </c>
      <c r="AA18" s="326" t="s">
        <v>107</v>
      </c>
      <c r="AB18" s="326" t="s">
        <v>109</v>
      </c>
      <c r="AC18" s="326" t="s">
        <v>110</v>
      </c>
      <c r="AD18" s="327" t="s">
        <v>114</v>
      </c>
      <c r="AE18" s="326" t="s">
        <v>111</v>
      </c>
      <c r="AF18" s="326" t="s">
        <v>112</v>
      </c>
      <c r="AG18" s="328" t="s">
        <v>113</v>
      </c>
      <c r="AH18" s="279"/>
      <c r="AI18" s="230">
        <f>AI19+1</f>
        <v>15</v>
      </c>
      <c r="AJ18" s="340">
        <v>5</v>
      </c>
      <c r="AK18" s="386">
        <f xml:space="preserve"> IF(AJ18&lt;=0, "XX", Z$29 + AA$29 + AB$29 + AC$29+AJ18)</f>
        <v>58</v>
      </c>
      <c r="AL18" s="26">
        <f>IF(AK18="XX", "XX", $Z$11 + Z$34 + AA$34 + AB$34 +AC$34 + AJ18*AD$21)</f>
        <v>1339</v>
      </c>
      <c r="AM18" s="402">
        <f t="shared" si="5"/>
        <v>408.12720000000002</v>
      </c>
      <c r="AN18" s="250"/>
      <c r="AO18" s="250"/>
      <c r="AP18" s="219">
        <f t="shared" ref="AP18:AP20" si="16">AI18</f>
        <v>15</v>
      </c>
      <c r="AQ18" s="239">
        <f t="shared" ref="AQ18:AQ20" si="17">AK18</f>
        <v>58</v>
      </c>
      <c r="AR18" s="377">
        <f>'SMMR-Calcs'!AH34</f>
        <v>839</v>
      </c>
      <c r="AS18" s="378"/>
      <c r="AT18" s="248"/>
      <c r="AU18" s="644">
        <f>'SMMR-Calcs'!J34</f>
        <v>13.998680535081702</v>
      </c>
      <c r="AV18" s="616">
        <f>'SMMR-Calcs'!K34</f>
        <v>8.2047364400305582</v>
      </c>
      <c r="AW18" s="616">
        <f>'SMMR-Calcs'!L34</f>
        <v>92.013159999999999</v>
      </c>
      <c r="AX18" s="645">
        <f>'SMMR-Calcs'!R34</f>
        <v>6.7254929697077581E-2</v>
      </c>
      <c r="AY18" s="215">
        <f>'SMMR-Calcs'!AO34</f>
        <v>293.06263789977027</v>
      </c>
      <c r="AZ18" s="682">
        <f>'SMMR-Calcs'!AP34</f>
        <v>3.4888409273782173E-2</v>
      </c>
      <c r="BA18" s="699">
        <f t="shared" ref="BA18:BA20" si="18">IF(AK18="XX", "XX", AY18*1.08*$AF$10/12000)</f>
        <v>70.686708261424599</v>
      </c>
      <c r="BB18" s="600"/>
      <c r="BC18" s="600"/>
      <c r="BD18" s="600"/>
      <c r="BE18" s="600"/>
      <c r="BF18" s="600"/>
      <c r="BG18" s="600"/>
      <c r="BH18" s="254"/>
      <c r="BI18" s="254"/>
      <c r="BJ18" s="385">
        <f t="shared" ref="BJ18:BL20" si="19">AP18</f>
        <v>15</v>
      </c>
      <c r="BK18" s="25">
        <f t="shared" si="19"/>
        <v>58</v>
      </c>
      <c r="BL18" s="382">
        <f t="shared" si="19"/>
        <v>839</v>
      </c>
      <c r="BM18" s="240"/>
      <c r="BN18" s="250"/>
      <c r="BO18" s="649">
        <f>'WNTR-Calcs'!J34</f>
        <v>13.998680535081702</v>
      </c>
      <c r="BP18" s="650">
        <f>'WNTR-Calcs'!K34</f>
        <v>18.204736440030558</v>
      </c>
      <c r="BQ18" s="658">
        <f>'WNTR-Calcs'!L34</f>
        <v>-18.986840000000001</v>
      </c>
      <c r="BR18" s="645">
        <f>'WNTR-Calcs'!R34</f>
        <v>8.5917724285909061E-2</v>
      </c>
      <c r="BS18" s="215">
        <f>'WNTR-Calcs'!AO34</f>
        <v>-1333.2389050764132</v>
      </c>
      <c r="BT18" s="694">
        <f>'WNTR-Calcs'!AP34</f>
        <v>-0.15871891727100157</v>
      </c>
      <c r="BU18" s="699">
        <f>IF(BK18="XX", "XX", BS18*1.08*$AG$10/1000)</f>
        <v>-11491.826077528043</v>
      </c>
      <c r="BV18" s="602"/>
      <c r="BW18" s="602"/>
      <c r="BX18" s="602"/>
      <c r="BY18" s="602"/>
      <c r="BZ18" s="602"/>
      <c r="CA18" s="602"/>
      <c r="CB18" s="250"/>
      <c r="CC18" s="250"/>
      <c r="CD18" s="219">
        <f t="shared" ref="CD18:CF20" si="20">AP18</f>
        <v>15</v>
      </c>
      <c r="CE18" s="551">
        <f t="shared" si="20"/>
        <v>58</v>
      </c>
      <c r="CF18" s="551">
        <f t="shared" si="20"/>
        <v>839</v>
      </c>
      <c r="CG18" s="562"/>
      <c r="CH18" s="250"/>
      <c r="CI18" s="615">
        <f>'SMMR-Calcs'!L34</f>
        <v>92.013159999999999</v>
      </c>
      <c r="CJ18" s="616">
        <f>'SMMR-Calcs'!Q34</f>
        <v>14.868798532748341</v>
      </c>
      <c r="CK18" s="616">
        <f>'SMMR-Calcs'!S34</f>
        <v>36.546902578564151</v>
      </c>
      <c r="CL18" s="617">
        <f>IF(AK18="XX", "XX", AY18)</f>
        <v>293.06263789977027</v>
      </c>
      <c r="CM18" s="618">
        <f>IF(AK18="XX",  "XX", CL18*60/CJ18)</f>
        <v>1182.5944265273492</v>
      </c>
      <c r="CN18" s="585">
        <f>'SMMR-Calcs'!AQ34</f>
        <v>5384.795272499724</v>
      </c>
      <c r="CO18" s="586">
        <f>'SMMR-Calcs'!AR34</f>
        <v>949.52294679525573</v>
      </c>
      <c r="CP18" s="197"/>
      <c r="CQ18" s="615">
        <f>'WNTR-Calcs'!L34</f>
        <v>-18.986840000000001</v>
      </c>
      <c r="CR18" s="616">
        <f>'WNTR-Calcs'!Q34</f>
        <v>11.63904198244698</v>
      </c>
      <c r="CS18" s="616">
        <f>'WNTR-Calcs'!S34</f>
        <v>-4.1509855274932761</v>
      </c>
      <c r="CT18" s="617">
        <f>IF(AR18="XX", "XX", BS18)</f>
        <v>-1333.2389050764132</v>
      </c>
      <c r="CU18" s="618">
        <f>IF(AR18="XX",  "XX", CT18*60/CR18)</f>
        <v>-6872.931159216153</v>
      </c>
      <c r="CV18" s="585">
        <f>'WNTR-Calcs'!AQ34</f>
        <v>131011.77053299981</v>
      </c>
      <c r="CW18" s="586">
        <f>'WNTR-Calcs'!AR34</f>
        <v>-4319.6940524475785</v>
      </c>
      <c r="CX18" s="609"/>
      <c r="CY18" s="250"/>
    </row>
    <row r="19" spans="1:103" ht="16.05" customHeight="1">
      <c r="A19" s="250"/>
      <c r="B19" s="723">
        <f t="shared" si="3"/>
        <v>0.23999999999999996</v>
      </c>
      <c r="C19" s="734">
        <f t="shared" si="4"/>
        <v>0.49192292656520215</v>
      </c>
      <c r="D19" s="250"/>
      <c r="E19" s="549"/>
      <c r="F19" s="550"/>
      <c r="G19" s="550" t="s">
        <v>4</v>
      </c>
      <c r="H19" s="348">
        <v>220</v>
      </c>
      <c r="I19" s="349">
        <v>220</v>
      </c>
      <c r="J19" s="349">
        <v>220</v>
      </c>
      <c r="K19" s="349">
        <v>220</v>
      </c>
      <c r="L19" s="349">
        <v>220</v>
      </c>
      <c r="M19" s="349">
        <v>220</v>
      </c>
      <c r="N19" s="349">
        <v>220</v>
      </c>
      <c r="O19" s="350">
        <v>220</v>
      </c>
      <c r="P19" s="180"/>
      <c r="Q19" s="230">
        <f>Q20+1</f>
        <v>14</v>
      </c>
      <c r="R19" s="342">
        <v>3</v>
      </c>
      <c r="S19" s="366">
        <v>2</v>
      </c>
      <c r="T19" s="342">
        <v>3</v>
      </c>
      <c r="U19" s="413"/>
      <c r="V19" s="495"/>
      <c r="W19" s="549"/>
      <c r="X19" s="550"/>
      <c r="Y19" s="550" t="s">
        <v>4</v>
      </c>
      <c r="Z19" s="329">
        <v>320</v>
      </c>
      <c r="AA19" s="330">
        <v>280</v>
      </c>
      <c r="AB19" s="330">
        <v>240</v>
      </c>
      <c r="AC19" s="330">
        <v>220</v>
      </c>
      <c r="AD19" s="331">
        <v>200</v>
      </c>
      <c r="AE19" s="330">
        <v>180</v>
      </c>
      <c r="AF19" s="330">
        <v>180</v>
      </c>
      <c r="AG19" s="332">
        <v>180</v>
      </c>
      <c r="AH19" s="279"/>
      <c r="AI19" s="230">
        <f>AI20+1</f>
        <v>14</v>
      </c>
      <c r="AJ19" s="342">
        <v>3</v>
      </c>
      <c r="AK19" s="388">
        <f xml:space="preserve"> IF(AJ19&lt;=0, "XX", Z$29 + AA$29 + AB$29 + AC$29+AJ19)</f>
        <v>56</v>
      </c>
      <c r="AL19" s="26">
        <f>IF(AK19="XX", "XX", $Z$11 + Z$34 + AA$34 + AB$34 +AC$34 + AJ19*AD$21)</f>
        <v>1309</v>
      </c>
      <c r="AM19" s="392">
        <f t="shared" si="5"/>
        <v>398.98320000000001</v>
      </c>
      <c r="AN19" s="250"/>
      <c r="AO19" s="250"/>
      <c r="AP19" s="219">
        <f t="shared" si="16"/>
        <v>14</v>
      </c>
      <c r="AQ19" s="239">
        <f t="shared" si="17"/>
        <v>56</v>
      </c>
      <c r="AR19" s="239">
        <f>'SMMR-Calcs'!AH35</f>
        <v>809</v>
      </c>
      <c r="AS19" s="379"/>
      <c r="AT19" s="248"/>
      <c r="AU19" s="644">
        <f>'SMMR-Calcs'!J35</f>
        <v>14.014003449177856</v>
      </c>
      <c r="AV19" s="616">
        <f>'SMMR-Calcs'!K35</f>
        <v>8.0901451489686789</v>
      </c>
      <c r="AW19" s="616">
        <f>'SMMR-Calcs'!L35</f>
        <v>92.119960000000006</v>
      </c>
      <c r="AX19" s="645">
        <f>'SMMR-Calcs'!R35</f>
        <v>6.7310693758179121E-2</v>
      </c>
      <c r="AY19" s="215">
        <f>'SMMR-Calcs'!AO35</f>
        <v>203.77510162885923</v>
      </c>
      <c r="AZ19" s="682">
        <f>'SMMR-Calcs'!AP35</f>
        <v>2.4258940670102289E-2</v>
      </c>
      <c r="BA19" s="699">
        <f t="shared" si="18"/>
        <v>49.150554512880852</v>
      </c>
      <c r="BB19" s="600"/>
      <c r="BC19" s="600"/>
      <c r="BD19" s="600"/>
      <c r="BE19" s="600"/>
      <c r="BF19" s="600"/>
      <c r="BG19" s="600"/>
      <c r="BH19" s="254"/>
      <c r="BI19" s="254"/>
      <c r="BJ19" s="219">
        <f t="shared" si="19"/>
        <v>14</v>
      </c>
      <c r="BK19" s="25">
        <f t="shared" si="19"/>
        <v>56</v>
      </c>
      <c r="BL19" s="260">
        <f t="shared" si="19"/>
        <v>809</v>
      </c>
      <c r="BM19" s="243"/>
      <c r="BN19" s="250"/>
      <c r="BO19" s="649">
        <f>'WNTR-Calcs'!J34</f>
        <v>13.998680535081702</v>
      </c>
      <c r="BP19" s="650">
        <f>'WNTR-Calcs'!K34</f>
        <v>18.204736440030558</v>
      </c>
      <c r="BQ19" s="658">
        <f>'WNTR-Calcs'!L34</f>
        <v>-18.986840000000001</v>
      </c>
      <c r="BR19" s="645">
        <f>'WNTR-Calcs'!R34</f>
        <v>8.5917724285909061E-2</v>
      </c>
      <c r="BS19" s="215">
        <f>'WNTR-Calcs'!AO35</f>
        <v>-1232.5715500356696</v>
      </c>
      <c r="BT19" s="694">
        <f>'WNTR-Calcs'!AP35</f>
        <v>-0.14673470833757971</v>
      </c>
      <c r="BU19" s="699">
        <f>IF(BK19="XX", "XX", BS19*1.08*$AG$10/1000)</f>
        <v>-10624.125824101453</v>
      </c>
      <c r="BV19" s="602"/>
      <c r="BW19" s="602"/>
      <c r="BX19" s="602"/>
      <c r="BY19" s="602"/>
      <c r="BZ19" s="602"/>
      <c r="CA19" s="602"/>
      <c r="CB19" s="250"/>
      <c r="CC19" s="250"/>
      <c r="CD19" s="219">
        <f t="shared" si="20"/>
        <v>14</v>
      </c>
      <c r="CE19" s="551">
        <f t="shared" si="20"/>
        <v>56</v>
      </c>
      <c r="CF19" s="551">
        <f t="shared" si="20"/>
        <v>809</v>
      </c>
      <c r="CG19" s="552"/>
      <c r="CH19" s="250"/>
      <c r="CI19" s="615">
        <f>'SMMR-Calcs'!L35</f>
        <v>92.119960000000006</v>
      </c>
      <c r="CJ19" s="616">
        <f>'SMMR-Calcs'!Q35</f>
        <v>14.856480362431075</v>
      </c>
      <c r="CK19" s="616">
        <f>'SMMR-Calcs'!S35</f>
        <v>36.623291401008622</v>
      </c>
      <c r="CL19" s="617">
        <f>IF(AK19="XX", "XX", AY19)</f>
        <v>203.77510162885923</v>
      </c>
      <c r="CM19" s="618">
        <f>IF(AK19="XX",  "XX", CL19*60/CJ19)</f>
        <v>822.97460767691825</v>
      </c>
      <c r="CN19" s="585">
        <f>'SMMR-Calcs'!AQ35</f>
        <v>3767.7113159925671</v>
      </c>
      <c r="CO19" s="586">
        <f>'SMMR-Calcs'!AR35</f>
        <v>660.23132927750396</v>
      </c>
      <c r="CP19" s="197"/>
      <c r="CQ19" s="615">
        <f>'WNTR-Calcs'!L35</f>
        <v>-18.880040000000001</v>
      </c>
      <c r="CR19" s="616">
        <f>'WNTR-Calcs'!Q35</f>
        <v>11.629165136270894</v>
      </c>
      <c r="CS19" s="616">
        <f>'WNTR-Calcs'!S35</f>
        <v>-4.1235423302898768</v>
      </c>
      <c r="CT19" s="617">
        <f>IF(AR19="XX", "XX", BS19)</f>
        <v>-1232.5715500356696</v>
      </c>
      <c r="CU19" s="618">
        <f>IF(AR19="XX",  "XX", CT19*60/CR19)</f>
        <v>-6359.3811022151312</v>
      </c>
      <c r="CV19" s="585">
        <f>'WNTR-Calcs'!AQ35</f>
        <v>120977.44391171196</v>
      </c>
      <c r="CW19" s="586">
        <f>'WNTR-Calcs'!AR35</f>
        <v>-3993.5318221155694</v>
      </c>
      <c r="CX19" s="609"/>
      <c r="CY19" s="250"/>
    </row>
    <row r="20" spans="1:103" ht="16.05" customHeight="1" thickBot="1">
      <c r="A20" s="250"/>
      <c r="B20" s="723">
        <f t="shared" si="3"/>
        <v>0.25999999999999995</v>
      </c>
      <c r="C20" s="734">
        <f t="shared" si="4"/>
        <v>0.53291650377896904</v>
      </c>
      <c r="D20" s="250"/>
      <c r="E20" s="549"/>
      <c r="F20" s="550"/>
      <c r="G20" s="550" t="s">
        <v>5</v>
      </c>
      <c r="H20" s="348">
        <v>140</v>
      </c>
      <c r="I20" s="349">
        <v>140</v>
      </c>
      <c r="J20" s="349">
        <v>140</v>
      </c>
      <c r="K20" s="349">
        <v>140</v>
      </c>
      <c r="L20" s="349">
        <v>140</v>
      </c>
      <c r="M20" s="349">
        <v>140</v>
      </c>
      <c r="N20" s="349">
        <v>140</v>
      </c>
      <c r="O20" s="350">
        <v>140</v>
      </c>
      <c r="P20" s="292"/>
      <c r="Q20" s="232">
        <f>Q22+1</f>
        <v>13</v>
      </c>
      <c r="R20" s="341">
        <v>1</v>
      </c>
      <c r="S20" s="367">
        <v>1</v>
      </c>
      <c r="T20" s="341">
        <v>1</v>
      </c>
      <c r="U20" s="414"/>
      <c r="V20" s="495"/>
      <c r="W20" s="549"/>
      <c r="X20" s="550"/>
      <c r="Y20" s="550" t="s">
        <v>5</v>
      </c>
      <c r="Z20" s="329">
        <v>240</v>
      </c>
      <c r="AA20" s="330">
        <v>200</v>
      </c>
      <c r="AB20" s="330">
        <v>160</v>
      </c>
      <c r="AC20" s="330">
        <v>140</v>
      </c>
      <c r="AD20" s="331">
        <v>120</v>
      </c>
      <c r="AE20" s="330">
        <v>100</v>
      </c>
      <c r="AF20" s="330">
        <v>100</v>
      </c>
      <c r="AG20" s="332">
        <v>100</v>
      </c>
      <c r="AH20" s="280"/>
      <c r="AI20" s="232">
        <f>AI22+1</f>
        <v>13</v>
      </c>
      <c r="AJ20" s="341">
        <v>1</v>
      </c>
      <c r="AK20" s="389">
        <f xml:space="preserve"> IF(AJ20&lt;=0, "XX", Z$29 + AA$29 + AB$29 + AC$29+AJ20)</f>
        <v>54</v>
      </c>
      <c r="AL20" s="395">
        <f>IF(AK20="XX", "XX", $Z$11 + Z$34 + AA$34 + AB$34 +AC$34 + AJ20*AD$21)</f>
        <v>1279</v>
      </c>
      <c r="AM20" s="396">
        <f t="shared" si="5"/>
        <v>389.83920000000001</v>
      </c>
      <c r="AN20" s="250"/>
      <c r="AO20" s="250"/>
      <c r="AP20" s="221">
        <f t="shared" si="16"/>
        <v>13</v>
      </c>
      <c r="AQ20" s="239">
        <f t="shared" si="17"/>
        <v>54</v>
      </c>
      <c r="AR20" s="241">
        <f>'SMMR-Calcs'!AH36</f>
        <v>779</v>
      </c>
      <c r="AS20" s="244"/>
      <c r="AT20" s="248"/>
      <c r="AU20" s="675">
        <f>'SMMR-Calcs'!J36</f>
        <v>14.029339941459957</v>
      </c>
      <c r="AV20" s="628">
        <f>'SMMR-Calcs'!K36</f>
        <v>7.9755538579067995</v>
      </c>
      <c r="AW20" s="628">
        <f>'SMMR-Calcs'!L36</f>
        <v>92.226759999999999</v>
      </c>
      <c r="AX20" s="662">
        <f>'SMMR-Calcs'!R36</f>
        <v>6.7366481398704034E-2</v>
      </c>
      <c r="AY20" s="217">
        <f>'SMMR-Calcs'!AO36</f>
        <v>-58.510766451600709</v>
      </c>
      <c r="AZ20" s="685">
        <f>'SMMR-Calcs'!AP36</f>
        <v>-6.9655674347143702E-3</v>
      </c>
      <c r="BA20" s="703">
        <f t="shared" si="18"/>
        <v>-14.112796868126093</v>
      </c>
      <c r="BB20" s="600"/>
      <c r="BC20" s="600"/>
      <c r="BD20" s="600"/>
      <c r="BE20" s="600"/>
      <c r="BF20" s="600"/>
      <c r="BG20" s="600"/>
      <c r="BH20" s="254"/>
      <c r="BI20" s="254"/>
      <c r="BJ20" s="220">
        <f t="shared" si="19"/>
        <v>13</v>
      </c>
      <c r="BK20" s="264">
        <f t="shared" si="19"/>
        <v>54</v>
      </c>
      <c r="BL20" s="267">
        <f t="shared" si="19"/>
        <v>779</v>
      </c>
      <c r="BM20" s="244"/>
      <c r="BN20" s="250"/>
      <c r="BO20" s="659">
        <f>'WNTR-Calcs'!J35</f>
        <v>14.014003449177856</v>
      </c>
      <c r="BP20" s="660">
        <f>'WNTR-Calcs'!K35</f>
        <v>18.090145148968677</v>
      </c>
      <c r="BQ20" s="661">
        <f>'WNTR-Calcs'!L35</f>
        <v>-18.880040000000001</v>
      </c>
      <c r="BR20" s="662">
        <f>'WNTR-Calcs'!R35</f>
        <v>8.5990695658886174E-2</v>
      </c>
      <c r="BS20" s="215">
        <f>'WNTR-Calcs'!AO36</f>
        <v>-1123.1765659745979</v>
      </c>
      <c r="BT20" s="694">
        <f>'WNTR-Calcs'!AP36</f>
        <v>-0.13371149594935688</v>
      </c>
      <c r="BU20" s="703">
        <f>IF(BK20="XX", "XX", BS20*1.08*$AG$10/1000)</f>
        <v>-9681.1979468867303</v>
      </c>
      <c r="BV20" s="602"/>
      <c r="BW20" s="602"/>
      <c r="BX20" s="602"/>
      <c r="BY20" s="602"/>
      <c r="BZ20" s="602"/>
      <c r="CA20" s="602"/>
      <c r="CB20" s="250"/>
      <c r="CC20" s="250"/>
      <c r="CD20" s="221">
        <f t="shared" si="20"/>
        <v>13</v>
      </c>
      <c r="CE20" s="566">
        <f t="shared" si="20"/>
        <v>54</v>
      </c>
      <c r="CF20" s="566">
        <f t="shared" si="20"/>
        <v>779</v>
      </c>
      <c r="CG20" s="567"/>
      <c r="CH20" s="250"/>
      <c r="CI20" s="627">
        <f>'SMMR-Calcs'!L36</f>
        <v>92.226759999999999</v>
      </c>
      <c r="CJ20" s="628">
        <f>'SMMR-Calcs'!Q36</f>
        <v>14.844177389666037</v>
      </c>
      <c r="CK20" s="628">
        <f>'SMMR-Calcs'!S36</f>
        <v>36.699790392628273</v>
      </c>
      <c r="CL20" s="629">
        <f>IF(AK20="XX", "XX", AY20)</f>
        <v>-58.510766451600709</v>
      </c>
      <c r="CM20" s="630">
        <f>IF(AK20="XX",  "XX", CL20*60/CJ20)</f>
        <v>-236.4998675871405</v>
      </c>
      <c r="CN20" s="585">
        <f>'SMMR-Calcs'!AQ36</f>
        <v>-1088.5870055639991</v>
      </c>
      <c r="CO20" s="586">
        <f>'SMMR-Calcs'!AR36</f>
        <v>-189.57488330318631</v>
      </c>
      <c r="CP20" s="197"/>
      <c r="CQ20" s="615">
        <f>'WNTR-Calcs'!L36</f>
        <v>-18.773240000000001</v>
      </c>
      <c r="CR20" s="616">
        <f>'WNTR-Calcs'!Q36</f>
        <v>11.619298755756086</v>
      </c>
      <c r="CS20" s="616">
        <f>'WNTR-Calcs'!S36</f>
        <v>-4.0960921597429438</v>
      </c>
      <c r="CT20" s="617">
        <f>IF(AR20="XX", "XX", BS20)</f>
        <v>-1123.1765659745979</v>
      </c>
      <c r="CU20" s="618">
        <f>IF(AR20="XX",  "XX", CT20*60/CR20)</f>
        <v>-5799.8847757564754</v>
      </c>
      <c r="CV20" s="585">
        <f>'WNTR-Calcs'!AQ36</f>
        <v>110110.72606443508</v>
      </c>
      <c r="CW20" s="586">
        <f>'WNTR-Calcs'!AR36</f>
        <v>-3639.092073757698</v>
      </c>
      <c r="CX20" s="609"/>
      <c r="CY20" s="250"/>
    </row>
    <row r="21" spans="1:103" ht="16.05" customHeight="1" thickTop="1" thickBot="1">
      <c r="A21" s="250"/>
      <c r="B21" s="723">
        <f t="shared" si="3"/>
        <v>0.27999999999999997</v>
      </c>
      <c r="C21" s="734">
        <f t="shared" si="4"/>
        <v>0.57391008099273588</v>
      </c>
      <c r="D21" s="250"/>
      <c r="E21" s="549"/>
      <c r="F21" s="550"/>
      <c r="G21" s="550" t="s">
        <v>3</v>
      </c>
      <c r="H21" s="351">
        <v>13.5</v>
      </c>
      <c r="I21" s="352">
        <v>13.5</v>
      </c>
      <c r="J21" s="352">
        <v>13.5</v>
      </c>
      <c r="K21" s="352">
        <v>13.5</v>
      </c>
      <c r="L21" s="352">
        <v>13.5</v>
      </c>
      <c r="M21" s="352">
        <v>13.5</v>
      </c>
      <c r="N21" s="352">
        <v>13.5</v>
      </c>
      <c r="O21" s="356">
        <v>13.5</v>
      </c>
      <c r="P21" s="180"/>
      <c r="Q21" s="709"/>
      <c r="R21" s="406"/>
      <c r="S21" s="409"/>
      <c r="T21" s="407"/>
      <c r="U21" s="413"/>
      <c r="V21" s="495"/>
      <c r="W21" s="549"/>
      <c r="X21" s="550"/>
      <c r="Y21" s="550" t="s">
        <v>3</v>
      </c>
      <c r="Z21" s="333">
        <v>20</v>
      </c>
      <c r="AA21" s="334">
        <v>18</v>
      </c>
      <c r="AB21" s="334">
        <v>15</v>
      </c>
      <c r="AC21" s="334">
        <v>13.5</v>
      </c>
      <c r="AD21" s="335">
        <v>15</v>
      </c>
      <c r="AE21" s="334">
        <v>10</v>
      </c>
      <c r="AF21" s="334">
        <v>10</v>
      </c>
      <c r="AG21" s="336">
        <v>15</v>
      </c>
      <c r="AH21" s="279"/>
      <c r="AI21" s="398" t="s">
        <v>192</v>
      </c>
      <c r="AJ21" s="400"/>
      <c r="AK21" s="369" t="str">
        <f>AC17</f>
        <v>4-k</v>
      </c>
      <c r="AL21" s="401" t="s">
        <v>193</v>
      </c>
      <c r="AM21" s="403">
        <f>AC29</f>
        <v>41</v>
      </c>
      <c r="AN21" s="250"/>
      <c r="AO21" s="250"/>
      <c r="AP21" s="370" t="str">
        <f>AI21</f>
        <v>Section &gt;&gt;</v>
      </c>
      <c r="AQ21" s="238"/>
      <c r="AR21" s="376" t="str">
        <f>AK21</f>
        <v>4-k</v>
      </c>
      <c r="AS21" s="229">
        <f>AC33</f>
        <v>24.3</v>
      </c>
      <c r="AT21" s="249"/>
      <c r="AU21" s="673" t="s">
        <v>148</v>
      </c>
      <c r="AV21" s="664" t="s">
        <v>151</v>
      </c>
      <c r="AW21" s="664" t="s">
        <v>149</v>
      </c>
      <c r="AX21" s="666" t="s">
        <v>150</v>
      </c>
      <c r="AY21" s="569" t="s">
        <v>146</v>
      </c>
      <c r="AZ21" s="686" t="s">
        <v>147</v>
      </c>
      <c r="BA21" s="701" t="s">
        <v>237</v>
      </c>
      <c r="BB21" s="600"/>
      <c r="BC21" s="600"/>
      <c r="BD21" s="600"/>
      <c r="BE21" s="600"/>
      <c r="BF21" s="600"/>
      <c r="BG21" s="600"/>
      <c r="BH21" s="254"/>
      <c r="BI21" s="254"/>
      <c r="BJ21" s="370" t="str">
        <f>AI21</f>
        <v>Section &gt;&gt;</v>
      </c>
      <c r="BK21" s="268"/>
      <c r="BL21" s="384" t="str">
        <f>AR21</f>
        <v>4-k</v>
      </c>
      <c r="BM21" s="229">
        <f>AS21</f>
        <v>24.3</v>
      </c>
      <c r="BN21" s="250"/>
      <c r="BO21" s="663" t="s">
        <v>148</v>
      </c>
      <c r="BP21" s="664" t="s">
        <v>151</v>
      </c>
      <c r="BQ21" s="665" t="s">
        <v>149</v>
      </c>
      <c r="BR21" s="666" t="s">
        <v>150</v>
      </c>
      <c r="BS21" s="569" t="s">
        <v>146</v>
      </c>
      <c r="BT21" s="696" t="s">
        <v>147</v>
      </c>
      <c r="BU21" s="701" t="s">
        <v>239</v>
      </c>
      <c r="BV21" s="478"/>
      <c r="BW21" s="478"/>
      <c r="BX21" s="478"/>
      <c r="BY21" s="478"/>
      <c r="BZ21" s="478"/>
      <c r="CA21" s="478"/>
      <c r="CB21" s="250"/>
      <c r="CC21" s="250"/>
      <c r="CD21" s="543"/>
      <c r="CE21" s="544"/>
      <c r="CF21" s="545" t="str">
        <f>AR21</f>
        <v>4-k</v>
      </c>
      <c r="CG21" s="229">
        <f>AS21</f>
        <v>24.3</v>
      </c>
      <c r="CH21" s="250"/>
      <c r="CI21" s="631" t="s">
        <v>149</v>
      </c>
      <c r="CJ21" s="632" t="s">
        <v>235</v>
      </c>
      <c r="CK21" s="632" t="s">
        <v>236</v>
      </c>
      <c r="CL21" s="633" t="s">
        <v>158</v>
      </c>
      <c r="CM21" s="634" t="s">
        <v>159</v>
      </c>
      <c r="CN21" s="587" t="s">
        <v>204</v>
      </c>
      <c r="CO21" s="588" t="s">
        <v>234</v>
      </c>
      <c r="CP21" s="197"/>
      <c r="CQ21" s="631" t="s">
        <v>149</v>
      </c>
      <c r="CR21" s="632" t="s">
        <v>235</v>
      </c>
      <c r="CS21" s="632" t="s">
        <v>236</v>
      </c>
      <c r="CT21" s="633" t="s">
        <v>158</v>
      </c>
      <c r="CU21" s="634" t="s">
        <v>159</v>
      </c>
      <c r="CV21" s="587" t="s">
        <v>204</v>
      </c>
      <c r="CW21" s="588" t="s">
        <v>234</v>
      </c>
      <c r="CX21" s="608"/>
      <c r="CY21" s="250"/>
    </row>
    <row r="22" spans="1:103" ht="16.05" customHeight="1" thickTop="1">
      <c r="A22" s="250"/>
      <c r="B22" s="723">
        <f t="shared" si="3"/>
        <v>0.3</v>
      </c>
      <c r="C22" s="734">
        <f t="shared" si="4"/>
        <v>0.61490365820650272</v>
      </c>
      <c r="D22" s="250"/>
      <c r="E22" s="549"/>
      <c r="F22" s="550"/>
      <c r="G22" s="550" t="s">
        <v>29</v>
      </c>
      <c r="H22" s="310">
        <v>2</v>
      </c>
      <c r="I22" s="286">
        <v>3</v>
      </c>
      <c r="J22" s="286">
        <v>3</v>
      </c>
      <c r="K22" s="286">
        <v>5</v>
      </c>
      <c r="L22" s="286">
        <v>3</v>
      </c>
      <c r="M22" s="286">
        <v>4</v>
      </c>
      <c r="N22" s="286">
        <v>3</v>
      </c>
      <c r="O22" s="316">
        <v>2</v>
      </c>
      <c r="P22" s="293"/>
      <c r="Q22" s="230">
        <f>Q23+1</f>
        <v>12</v>
      </c>
      <c r="R22" s="340">
        <v>30</v>
      </c>
      <c r="S22" s="362">
        <v>5</v>
      </c>
      <c r="T22" s="340">
        <v>30</v>
      </c>
      <c r="U22" s="413"/>
      <c r="V22" s="495"/>
      <c r="W22" s="549"/>
      <c r="X22" s="550"/>
      <c r="Y22" s="550" t="s">
        <v>29</v>
      </c>
      <c r="Z22" s="310">
        <v>2</v>
      </c>
      <c r="AA22" s="286">
        <v>3</v>
      </c>
      <c r="AB22" s="286">
        <v>6</v>
      </c>
      <c r="AC22" s="286">
        <v>40</v>
      </c>
      <c r="AD22" s="287">
        <v>5</v>
      </c>
      <c r="AE22" s="286">
        <v>25</v>
      </c>
      <c r="AF22" s="286">
        <v>15</v>
      </c>
      <c r="AG22" s="311">
        <v>2</v>
      </c>
      <c r="AH22" s="281"/>
      <c r="AI22" s="230">
        <f>AI23+1</f>
        <v>12</v>
      </c>
      <c r="AJ22" s="340">
        <v>30</v>
      </c>
      <c r="AK22" s="386">
        <f xml:space="preserve"> IF(AJ22&lt;=0, "XX", AB$29+AJ22)</f>
        <v>36</v>
      </c>
      <c r="AL22" s="26">
        <f>IF(AK22="XX", "XX", $Z$11 + Z$34 + AA$34 + AB$34 + AJ22*AC$21)</f>
        <v>1109</v>
      </c>
      <c r="AM22" s="402">
        <f t="shared" si="5"/>
        <v>338.02320000000003</v>
      </c>
      <c r="AN22" s="250"/>
      <c r="AO22" s="250"/>
      <c r="AP22" s="219">
        <f t="shared" ref="AP22:AP26" si="21">AI22</f>
        <v>12</v>
      </c>
      <c r="AQ22" s="239">
        <f t="shared" ref="AQ22:AQ26" si="22">AK22</f>
        <v>36</v>
      </c>
      <c r="AR22" s="371">
        <f>'SMMR-Calcs'!AH41</f>
        <v>609</v>
      </c>
      <c r="AS22" s="240"/>
      <c r="AT22" s="248"/>
      <c r="AU22" s="644">
        <f>'SMMR-Calcs'!J41</f>
        <v>14.116503652380015</v>
      </c>
      <c r="AV22" s="616">
        <f>'SMMR-Calcs'!K41</f>
        <v>7.3262032085561497</v>
      </c>
      <c r="AW22" s="616">
        <f>'SMMR-Calcs'!L41</f>
        <v>92.831959999999995</v>
      </c>
      <c r="AX22" s="645">
        <f>'SMMR-Calcs'!R41</f>
        <v>6.7683055458416685E-2</v>
      </c>
      <c r="AY22" s="215">
        <f>'SMMR-Calcs'!AO41</f>
        <v>-437.77849317583224</v>
      </c>
      <c r="AZ22" s="687">
        <f>'SMMR-Calcs'!AP41</f>
        <v>-5.2116487282837173E-2</v>
      </c>
      <c r="BA22" s="699">
        <f t="shared" ref="BA22:BA26" si="23">IF(AK22="XX", "XX", AY22*1.08*$AF$10/12000)</f>
        <v>-105.59217255401074</v>
      </c>
      <c r="BB22" s="152"/>
      <c r="BC22" s="152"/>
      <c r="BD22" s="152"/>
      <c r="BE22" s="152"/>
      <c r="BF22" s="152"/>
      <c r="BG22" s="152"/>
      <c r="BH22" s="254"/>
      <c r="BI22" s="254"/>
      <c r="BJ22" s="219">
        <f t="shared" ref="BJ22:BL26" si="24">AP22</f>
        <v>12</v>
      </c>
      <c r="BK22" s="25">
        <f t="shared" si="24"/>
        <v>36</v>
      </c>
      <c r="BL22" s="383">
        <f t="shared" si="24"/>
        <v>609</v>
      </c>
      <c r="BM22" s="240"/>
      <c r="BN22" s="250"/>
      <c r="BO22" s="649">
        <f>'WNTR-Calcs'!J41</f>
        <v>14.116503652380015</v>
      </c>
      <c r="BP22" s="650">
        <f>'WNTR-Calcs'!K41</f>
        <v>17.326203208556151</v>
      </c>
      <c r="BQ22" s="658">
        <f>'WNTR-Calcs'!L41</f>
        <v>-18.168040000000001</v>
      </c>
      <c r="BR22" s="645">
        <f>'WNTR-Calcs'!R41</f>
        <v>8.6478361570913806E-2</v>
      </c>
      <c r="BS22" s="215">
        <f>'SMMR-Calcs'!AO41</f>
        <v>-437.77849317583224</v>
      </c>
      <c r="BT22" s="694">
        <f>'SMMR-Calcs'!AP41</f>
        <v>-5.2116487282837173E-2</v>
      </c>
      <c r="BU22" s="699">
        <f>IF(BK22="XX", "XX", BS22*1.08*$AG$10/1000)</f>
        <v>-3773.4229663592228</v>
      </c>
      <c r="BV22" s="602"/>
      <c r="BW22" s="602"/>
      <c r="BX22" s="602"/>
      <c r="BY22" s="602"/>
      <c r="BZ22" s="602"/>
      <c r="CA22" s="602"/>
      <c r="CB22" s="250"/>
      <c r="CC22" s="250"/>
      <c r="CD22" s="219">
        <f t="shared" ref="CD22:CF26" si="25">AP22</f>
        <v>12</v>
      </c>
      <c r="CE22" s="551">
        <f t="shared" si="25"/>
        <v>36</v>
      </c>
      <c r="CF22" s="551">
        <f t="shared" si="25"/>
        <v>609</v>
      </c>
      <c r="CG22" s="562"/>
      <c r="CH22" s="250"/>
      <c r="CI22" s="615">
        <f>'SMMR-Calcs'!L41</f>
        <v>92.831959999999995</v>
      </c>
      <c r="CJ22" s="616">
        <f>'SMMR-Calcs'!Q41</f>
        <v>14.774746695860722</v>
      </c>
      <c r="CK22" s="616">
        <f>'SMMR-Calcs'!S41</f>
        <v>37.135374461840378</v>
      </c>
      <c r="CL22" s="617">
        <f>IF(AK22="XX", "XX", AY22)</f>
        <v>-437.77849317583224</v>
      </c>
      <c r="CM22" s="618">
        <f>IF(AK22="XX",  "XX", CL22*60/CJ22)</f>
        <v>-1777.8111619273168</v>
      </c>
      <c r="CN22" s="585">
        <f>'SMMR-Calcs'!AQ41</f>
        <v>-8430.964465505449</v>
      </c>
      <c r="CO22" s="586">
        <f>'SMMR-Calcs'!AR41</f>
        <v>-1418.4023178896966</v>
      </c>
      <c r="CP22" s="197"/>
      <c r="CQ22" s="615">
        <f>'WNTR-Calcs'!L41</f>
        <v>-18.168040000000001</v>
      </c>
      <c r="CR22" s="616">
        <f>'WNTR-Calcs'!Q41</f>
        <v>11.563586333443448</v>
      </c>
      <c r="CS22" s="616">
        <f>'WNTR-Calcs'!S41</f>
        <v>-3.9404084047867731</v>
      </c>
      <c r="CT22" s="617">
        <f>IF(AR22="XX", "XX", BS22)</f>
        <v>-437.77849317583224</v>
      </c>
      <c r="CU22" s="618">
        <f>IF(AR22="XX",  "XX", CT22*60/CR22)</f>
        <v>-2271.5020092497666</v>
      </c>
      <c r="CV22" s="585">
        <f>'WNTR-Calcs'!AQ41</f>
        <v>-35601.448619287788</v>
      </c>
      <c r="CW22" s="586">
        <f>'WNTR-Calcs'!AR41</f>
        <v>1184.5033546017344</v>
      </c>
      <c r="CX22" s="609"/>
      <c r="CY22" s="250"/>
    </row>
    <row r="23" spans="1:103" ht="16.05" customHeight="1">
      <c r="A23" s="250"/>
      <c r="B23" s="723">
        <f t="shared" si="3"/>
        <v>0.32</v>
      </c>
      <c r="C23" s="734">
        <f t="shared" si="4"/>
        <v>0.65589723542026968</v>
      </c>
      <c r="D23" s="250"/>
      <c r="E23" s="549"/>
      <c r="F23" s="550"/>
      <c r="G23" s="550" t="s">
        <v>144</v>
      </c>
      <c r="H23" s="353" t="s">
        <v>91</v>
      </c>
      <c r="I23" s="354" t="s">
        <v>91</v>
      </c>
      <c r="J23" s="354" t="s">
        <v>91</v>
      </c>
      <c r="K23" s="354" t="s">
        <v>91</v>
      </c>
      <c r="L23" s="354" t="s">
        <v>91</v>
      </c>
      <c r="M23" s="354" t="s">
        <v>91</v>
      </c>
      <c r="N23" s="354" t="s">
        <v>91</v>
      </c>
      <c r="O23" s="355" t="s">
        <v>91</v>
      </c>
      <c r="P23" s="292"/>
      <c r="Q23" s="230">
        <f>Q24+1</f>
        <v>11</v>
      </c>
      <c r="R23" s="342">
        <v>25</v>
      </c>
      <c r="S23" s="364">
        <v>4</v>
      </c>
      <c r="T23" s="342">
        <v>25</v>
      </c>
      <c r="U23" s="413"/>
      <c r="V23" s="495"/>
      <c r="W23" s="549"/>
      <c r="X23" s="550"/>
      <c r="Y23" s="550" t="s">
        <v>144</v>
      </c>
      <c r="Z23" s="310" t="s">
        <v>91</v>
      </c>
      <c r="AA23" s="286" t="s">
        <v>92</v>
      </c>
      <c r="AB23" s="286" t="s">
        <v>91</v>
      </c>
      <c r="AC23" s="286" t="s">
        <v>92</v>
      </c>
      <c r="AD23" s="287" t="s">
        <v>91</v>
      </c>
      <c r="AE23" s="286" t="s">
        <v>91</v>
      </c>
      <c r="AF23" s="286" t="s">
        <v>92</v>
      </c>
      <c r="AG23" s="311" t="s">
        <v>92</v>
      </c>
      <c r="AH23" s="280"/>
      <c r="AI23" s="230">
        <f>AI24+1</f>
        <v>11</v>
      </c>
      <c r="AJ23" s="342">
        <v>25</v>
      </c>
      <c r="AK23" s="388">
        <f xml:space="preserve"> IF(AJ23&lt;=0, "XX", AB$29+AJ23)</f>
        <v>31</v>
      </c>
      <c r="AL23" s="26">
        <f>IF(AK23="XX", "XX", $Z$11 + Z$34 + AA$34 + AB$34 + AJ23*AC$21)</f>
        <v>1041.5</v>
      </c>
      <c r="AM23" s="392">
        <f t="shared" si="5"/>
        <v>317.44920000000002</v>
      </c>
      <c r="AN23" s="250"/>
      <c r="AO23" s="250"/>
      <c r="AP23" s="219">
        <f t="shared" si="21"/>
        <v>11</v>
      </c>
      <c r="AQ23" s="239">
        <f t="shared" si="22"/>
        <v>31</v>
      </c>
      <c r="AR23" s="239">
        <f>'SMMR-Calcs'!AH42</f>
        <v>541.5</v>
      </c>
      <c r="AS23" s="243"/>
      <c r="AT23" s="248"/>
      <c r="AU23" s="644">
        <f>'SMMR-Calcs'!J42</f>
        <v>14.151234157211691</v>
      </c>
      <c r="AV23" s="616">
        <f>'SMMR-Calcs'!K42</f>
        <v>7.0683728036669216</v>
      </c>
      <c r="AW23" s="616">
        <f>'SMMR-Calcs'!L42</f>
        <v>93.07226</v>
      </c>
      <c r="AX23" s="645">
        <f>'SMMR-Calcs'!R42</f>
        <v>6.7808962662956301E-2</v>
      </c>
      <c r="AY23" s="215">
        <f>'SMMR-Calcs'!AO42</f>
        <v>-520.09283594105182</v>
      </c>
      <c r="AZ23" s="682">
        <f>'SMMR-Calcs'!AP42</f>
        <v>-6.1915813802506166E-2</v>
      </c>
      <c r="BA23" s="699">
        <f t="shared" si="23"/>
        <v>-125.44639202898171</v>
      </c>
      <c r="BB23" s="600"/>
      <c r="BC23" s="600"/>
      <c r="BD23" s="600"/>
      <c r="BE23" s="600"/>
      <c r="BF23" s="600"/>
      <c r="BG23" s="600"/>
      <c r="BH23" s="254"/>
      <c r="BI23" s="254"/>
      <c r="BJ23" s="219">
        <f t="shared" si="24"/>
        <v>11</v>
      </c>
      <c r="BK23" s="25">
        <f t="shared" si="24"/>
        <v>31</v>
      </c>
      <c r="BL23" s="263">
        <f t="shared" si="24"/>
        <v>541.5</v>
      </c>
      <c r="BM23" s="243"/>
      <c r="BN23" s="250"/>
      <c r="BO23" s="649">
        <f>'WNTR-Calcs'!J41</f>
        <v>14.116503652380015</v>
      </c>
      <c r="BP23" s="650">
        <f>'WNTR-Calcs'!K41</f>
        <v>17.326203208556151</v>
      </c>
      <c r="BQ23" s="658">
        <f>'WNTR-Calcs'!L41</f>
        <v>-18.168040000000001</v>
      </c>
      <c r="BR23" s="645">
        <f>'WNTR-Calcs'!R41</f>
        <v>8.6478361570913806E-2</v>
      </c>
      <c r="BS23" s="215">
        <f>'SMMR-Calcs'!AO42</f>
        <v>-520.09283594105182</v>
      </c>
      <c r="BT23" s="694">
        <f>'SMMR-Calcs'!AP42</f>
        <v>-6.1915813802506166E-2</v>
      </c>
      <c r="BU23" s="699">
        <f>IF(BK23="XX", "XX", BS23*1.08*$AG$10/1000)</f>
        <v>-4482.9297975371774</v>
      </c>
      <c r="BV23" s="602"/>
      <c r="BW23" s="602"/>
      <c r="BX23" s="602"/>
      <c r="BY23" s="602"/>
      <c r="BZ23" s="602"/>
      <c r="CA23" s="602"/>
      <c r="CB23" s="250"/>
      <c r="CC23" s="250"/>
      <c r="CD23" s="219">
        <f t="shared" si="25"/>
        <v>11</v>
      </c>
      <c r="CE23" s="551">
        <f t="shared" si="25"/>
        <v>31</v>
      </c>
      <c r="CF23" s="551">
        <f t="shared" si="25"/>
        <v>541.5</v>
      </c>
      <c r="CG23" s="552"/>
      <c r="CH23" s="250"/>
      <c r="CI23" s="615">
        <f>'SMMR-Calcs'!L42</f>
        <v>93.07226</v>
      </c>
      <c r="CJ23" s="616">
        <f>'SMMR-Calcs'!M42</f>
        <v>73.07226</v>
      </c>
      <c r="CK23" s="616">
        <f>'SMMR-Calcs'!S42</f>
        <v>37.309317154243274</v>
      </c>
      <c r="CL23" s="617">
        <f>IF(AK23="XX", "XX", AY23)</f>
        <v>-520.09283594105182</v>
      </c>
      <c r="CM23" s="618">
        <f>IF(AK23="XX",  "XX", CL23*60/CJ23)</f>
        <v>-427.05084195374701</v>
      </c>
      <c r="CN23" s="585">
        <f>'SMMR-Calcs'!AQ42</f>
        <v>-10151.193191685157</v>
      </c>
      <c r="CO23" s="586">
        <f>'SMMR-Calcs'!AR42</f>
        <v>-1685.100788449008</v>
      </c>
      <c r="CP23" s="197"/>
      <c r="CQ23" s="615">
        <f>'WNTR-Calcs'!L42</f>
        <v>-17.92774</v>
      </c>
      <c r="CR23" s="616">
        <f>'WNTR-Calcs'!Q42</f>
        <v>11.541557805885796</v>
      </c>
      <c r="CS23" s="616">
        <f>'WNTR-Calcs'!S42</f>
        <v>-3.8785295953177972</v>
      </c>
      <c r="CT23" s="617">
        <f>IF(AR23="XX", "XX", BS23)</f>
        <v>-520.09283594105182</v>
      </c>
      <c r="CU23" s="618">
        <f>IF(AR23="XX",  "XX", CT23*60/CR23)</f>
        <v>-2703.757212093964</v>
      </c>
      <c r="CV23" s="585">
        <f>'WNTR-Calcs'!AQ42</f>
        <v>-71343.522955217995</v>
      </c>
      <c r="CW23" s="586">
        <f>'WNTR-Calcs'!AR42</f>
        <v>2380.0283301421118</v>
      </c>
      <c r="CX23" s="609"/>
      <c r="CY23" s="250"/>
    </row>
    <row r="24" spans="1:103" ht="16.05" customHeight="1">
      <c r="A24" s="250"/>
      <c r="B24" s="723">
        <f t="shared" si="3"/>
        <v>0.34</v>
      </c>
      <c r="C24" s="734">
        <f t="shared" si="4"/>
        <v>0.69689081263403652</v>
      </c>
      <c r="D24" s="250"/>
      <c r="E24" s="549"/>
      <c r="F24" s="550"/>
      <c r="G24" s="550" t="s">
        <v>23</v>
      </c>
      <c r="H24" s="351">
        <v>0.4</v>
      </c>
      <c r="I24" s="352">
        <v>0.4</v>
      </c>
      <c r="J24" s="352">
        <v>0.4</v>
      </c>
      <c r="K24" s="352">
        <v>0.4</v>
      </c>
      <c r="L24" s="352">
        <v>0.4</v>
      </c>
      <c r="M24" s="352">
        <v>0.4</v>
      </c>
      <c r="N24" s="352">
        <v>0.4</v>
      </c>
      <c r="O24" s="356">
        <v>0.4</v>
      </c>
      <c r="P24" s="292"/>
      <c r="Q24" s="230">
        <f>Q25+1</f>
        <v>10</v>
      </c>
      <c r="R24" s="342">
        <v>20</v>
      </c>
      <c r="S24" s="364">
        <v>3</v>
      </c>
      <c r="T24" s="342">
        <v>20</v>
      </c>
      <c r="U24" s="413"/>
      <c r="V24" s="495"/>
      <c r="W24" s="549"/>
      <c r="X24" s="550"/>
      <c r="Y24" s="550" t="s">
        <v>23</v>
      </c>
      <c r="Z24" s="318">
        <v>0.4</v>
      </c>
      <c r="AA24" s="319">
        <v>0.35</v>
      </c>
      <c r="AB24" s="319">
        <v>0.3</v>
      </c>
      <c r="AC24" s="319">
        <v>0.25</v>
      </c>
      <c r="AD24" s="320">
        <v>0.3</v>
      </c>
      <c r="AE24" s="319">
        <v>0.35</v>
      </c>
      <c r="AF24" s="319">
        <v>0.4</v>
      </c>
      <c r="AG24" s="321">
        <v>0.3</v>
      </c>
      <c r="AH24" s="280"/>
      <c r="AI24" s="230">
        <f>AI25+1</f>
        <v>10</v>
      </c>
      <c r="AJ24" s="342">
        <v>20</v>
      </c>
      <c r="AK24" s="388">
        <f xml:space="preserve"> IF(AJ24&lt;=0, "XX", AB$29+AJ24)</f>
        <v>26</v>
      </c>
      <c r="AL24" s="26">
        <f>IF(AK24="XX", "XX", $Z$11 + Z$34 + AA$34 + AB$34 + AJ24*AC$21)</f>
        <v>974</v>
      </c>
      <c r="AM24" s="392">
        <f t="shared" si="5"/>
        <v>296.87520000000001</v>
      </c>
      <c r="AN24" s="250"/>
      <c r="AO24" s="250"/>
      <c r="AP24" s="219">
        <f t="shared" si="21"/>
        <v>10</v>
      </c>
      <c r="AQ24" s="239">
        <f t="shared" si="22"/>
        <v>26</v>
      </c>
      <c r="AR24" s="239">
        <f>'SMMR-Calcs'!AH43</f>
        <v>474</v>
      </c>
      <c r="AS24" s="243"/>
      <c r="AT24" s="248"/>
      <c r="AU24" s="644">
        <f>'SMMR-Calcs'!J43</f>
        <v>14.186033817808577</v>
      </c>
      <c r="AV24" s="616">
        <f>'SMMR-Calcs'!K43</f>
        <v>6.8105423987776934</v>
      </c>
      <c r="AW24" s="616">
        <f>'SMMR-Calcs'!L43</f>
        <v>93.312560000000005</v>
      </c>
      <c r="AX24" s="645">
        <f>'SMMR-Calcs'!R43</f>
        <v>6.7934988019391379E-2</v>
      </c>
      <c r="AY24" s="215">
        <f>'SMMR-Calcs'!AO43</f>
        <v>-592.83763866166555</v>
      </c>
      <c r="AZ24" s="682">
        <f>'SMMR-Calcs'!AP43</f>
        <v>-7.0575909364483991E-2</v>
      </c>
      <c r="BA24" s="699">
        <f t="shared" si="23"/>
        <v>-142.99243844519376</v>
      </c>
      <c r="BB24" s="600"/>
      <c r="BC24" s="600"/>
      <c r="BD24" s="600"/>
      <c r="BE24" s="600"/>
      <c r="BF24" s="600"/>
      <c r="BG24" s="600"/>
      <c r="BH24" s="254"/>
      <c r="BI24" s="254"/>
      <c r="BJ24" s="219">
        <f t="shared" si="24"/>
        <v>10</v>
      </c>
      <c r="BK24" s="25">
        <f t="shared" si="24"/>
        <v>26</v>
      </c>
      <c r="BL24" s="263">
        <f t="shared" si="24"/>
        <v>474</v>
      </c>
      <c r="BM24" s="243"/>
      <c r="BN24" s="250"/>
      <c r="BO24" s="649">
        <f>'WNTR-Calcs'!J42</f>
        <v>14.151234157211691</v>
      </c>
      <c r="BP24" s="650">
        <f>'WNTR-Calcs'!K42</f>
        <v>17.068372803666922</v>
      </c>
      <c r="BQ24" s="658">
        <f>'WNTR-Calcs'!L42</f>
        <v>-17.92774</v>
      </c>
      <c r="BR24" s="645">
        <f>'WNTR-Calcs'!R42</f>
        <v>8.6643416497037731E-2</v>
      </c>
      <c r="BS24" s="215">
        <f>'SMMR-Calcs'!AO43</f>
        <v>-592.83763866166555</v>
      </c>
      <c r="BT24" s="694">
        <f>'SMMR-Calcs'!AP43</f>
        <v>-7.0575909364483991E-2</v>
      </c>
      <c r="BU24" s="699">
        <f>IF(BK24="XX", "XX", BS24*1.08*$AG$10/1000)</f>
        <v>-5109.9521696914535</v>
      </c>
      <c r="BV24" s="602"/>
      <c r="BW24" s="602"/>
      <c r="BX24" s="602"/>
      <c r="BY24" s="602"/>
      <c r="BZ24" s="602"/>
      <c r="CA24" s="602"/>
      <c r="CB24" s="250"/>
      <c r="CC24" s="250"/>
      <c r="CD24" s="219">
        <f t="shared" si="25"/>
        <v>10</v>
      </c>
      <c r="CE24" s="551">
        <f t="shared" si="25"/>
        <v>26</v>
      </c>
      <c r="CF24" s="551">
        <f t="shared" si="25"/>
        <v>474</v>
      </c>
      <c r="CG24" s="552"/>
      <c r="CH24" s="250"/>
      <c r="CI24" s="615">
        <f>'SMMR-Calcs'!L43</f>
        <v>93.312560000000005</v>
      </c>
      <c r="CJ24" s="616">
        <f>'SMMR-Calcs'!M43</f>
        <v>73.312560000000005</v>
      </c>
      <c r="CK24" s="616">
        <f>'SMMR-Calcs'!S43</f>
        <v>37.48382584559657</v>
      </c>
      <c r="CL24" s="617">
        <f>IF(AK24="XX", "XX", AY24)</f>
        <v>-592.83763866166555</v>
      </c>
      <c r="CM24" s="618">
        <f>IF(AK24="XX",  "XX", CL24*60/CJ24)</f>
        <v>-485.18641716644368</v>
      </c>
      <c r="CN24" s="585">
        <f>'SMMR-Calcs'!AQ43</f>
        <v>-11724.88481451008</v>
      </c>
      <c r="CO24" s="586">
        <f>'SMMR-Calcs'!AR43</f>
        <v>-1920.7939492637965</v>
      </c>
      <c r="CP24" s="197"/>
      <c r="CQ24" s="615">
        <f>'WNTR-Calcs'!L43</f>
        <v>-17.687439999999999</v>
      </c>
      <c r="CR24" s="616">
        <f>'WNTR-Calcs'!Q43</f>
        <v>11.519581685733947</v>
      </c>
      <c r="CS24" s="616">
        <f>'WNTR-Calcs'!S43</f>
        <v>-3.8166144761504563</v>
      </c>
      <c r="CT24" s="617">
        <f>IF(AR24="XX", "XX", BS24)</f>
        <v>-592.83763866166555</v>
      </c>
      <c r="CU24" s="618">
        <f>IF(AR24="XX",  "XX", CT24*60/CR24)</f>
        <v>-3087.8081591930345</v>
      </c>
      <c r="CV24" s="585">
        <f>'WNTR-Calcs'!AQ43</f>
        <v>-94083.21486102503</v>
      </c>
      <c r="CW24" s="586">
        <f>'WNTR-Calcs'!AR43</f>
        <v>3147.0364700238415</v>
      </c>
      <c r="CX24" s="609"/>
      <c r="CY24" s="250"/>
    </row>
    <row r="25" spans="1:103" ht="16.05" customHeight="1">
      <c r="A25" s="250"/>
      <c r="B25" s="723">
        <f t="shared" si="3"/>
        <v>0.36000000000000004</v>
      </c>
      <c r="C25" s="734">
        <f t="shared" si="4"/>
        <v>0.73788438984780347</v>
      </c>
      <c r="D25" s="250"/>
      <c r="E25" s="549"/>
      <c r="F25" s="550"/>
      <c r="G25" s="550" t="s">
        <v>24</v>
      </c>
      <c r="H25" s="351">
        <v>0.6</v>
      </c>
      <c r="I25" s="352">
        <v>0.6</v>
      </c>
      <c r="J25" s="352">
        <v>0.6</v>
      </c>
      <c r="K25" s="352">
        <v>0.6</v>
      </c>
      <c r="L25" s="352">
        <v>0.6</v>
      </c>
      <c r="M25" s="352">
        <v>0.6</v>
      </c>
      <c r="N25" s="352">
        <v>0.6</v>
      </c>
      <c r="O25" s="356">
        <v>0.6</v>
      </c>
      <c r="P25" s="294"/>
      <c r="Q25" s="230">
        <f>Q26+1</f>
        <v>9</v>
      </c>
      <c r="R25" s="342">
        <v>15</v>
      </c>
      <c r="S25" s="364">
        <v>2</v>
      </c>
      <c r="T25" s="342">
        <v>15</v>
      </c>
      <c r="U25" s="413"/>
      <c r="V25" s="495"/>
      <c r="W25" s="549"/>
      <c r="X25" s="550"/>
      <c r="Y25" s="550" t="s">
        <v>24</v>
      </c>
      <c r="Z25" s="333">
        <v>0.6</v>
      </c>
      <c r="AA25" s="334">
        <v>0.6</v>
      </c>
      <c r="AB25" s="334">
        <v>0.6</v>
      </c>
      <c r="AC25" s="334">
        <v>0.6</v>
      </c>
      <c r="AD25" s="335">
        <v>0.6</v>
      </c>
      <c r="AE25" s="334">
        <v>0.6</v>
      </c>
      <c r="AF25" s="334">
        <v>0.6</v>
      </c>
      <c r="AG25" s="336">
        <v>0.6</v>
      </c>
      <c r="AH25" s="282"/>
      <c r="AI25" s="230">
        <f>AI26+1</f>
        <v>9</v>
      </c>
      <c r="AJ25" s="342">
        <v>15</v>
      </c>
      <c r="AK25" s="388">
        <f xml:space="preserve"> IF(AJ25&lt;=0, "XX", AB$29+AJ25)</f>
        <v>21</v>
      </c>
      <c r="AL25" s="26">
        <f>IF(AK25="XX", "XX", $Z$11 + Z$34 + AA$34 + AB$34 + AJ25*AC$21)</f>
        <v>906.5</v>
      </c>
      <c r="AM25" s="392">
        <f t="shared" si="5"/>
        <v>276.30119999999999</v>
      </c>
      <c r="AN25" s="250"/>
      <c r="AO25" s="250"/>
      <c r="AP25" s="219">
        <f t="shared" si="21"/>
        <v>9</v>
      </c>
      <c r="AQ25" s="239">
        <f t="shared" si="22"/>
        <v>21</v>
      </c>
      <c r="AR25" s="239">
        <f>'SMMR-Calcs'!AH44</f>
        <v>406.5</v>
      </c>
      <c r="AS25" s="243"/>
      <c r="AT25" s="248"/>
      <c r="AU25" s="644">
        <f>'SMMR-Calcs'!J44</f>
        <v>14.220902739466119</v>
      </c>
      <c r="AV25" s="616">
        <f>'SMMR-Calcs'!K44</f>
        <v>6.5527119938884644</v>
      </c>
      <c r="AW25" s="616">
        <f>'SMMR-Calcs'!L44</f>
        <v>93.552859999999995</v>
      </c>
      <c r="AX25" s="645">
        <f>'SMMR-Calcs'!R44</f>
        <v>6.8061131214985568E-2</v>
      </c>
      <c r="AY25" s="215">
        <f>'SMMR-Calcs'!AO44</f>
        <v>-659.18869121624925</v>
      </c>
      <c r="AZ25" s="682">
        <f>'SMMR-Calcs'!AP44</f>
        <v>-7.8474844192410631E-2</v>
      </c>
      <c r="BA25" s="699">
        <f t="shared" si="23"/>
        <v>-158.99631232135934</v>
      </c>
      <c r="BB25" s="600"/>
      <c r="BC25" s="600"/>
      <c r="BD25" s="600"/>
      <c r="BE25" s="600"/>
      <c r="BF25" s="600"/>
      <c r="BG25" s="600"/>
      <c r="BH25" s="254"/>
      <c r="BI25" s="254"/>
      <c r="BJ25" s="219">
        <f t="shared" si="24"/>
        <v>9</v>
      </c>
      <c r="BK25" s="25">
        <f t="shared" si="24"/>
        <v>21</v>
      </c>
      <c r="BL25" s="263">
        <f t="shared" si="24"/>
        <v>406.5</v>
      </c>
      <c r="BM25" s="243"/>
      <c r="BN25" s="250"/>
      <c r="BO25" s="649">
        <f>'WNTR-Calcs'!J43</f>
        <v>14.186033817808577</v>
      </c>
      <c r="BP25" s="650">
        <f>'WNTR-Calcs'!K43</f>
        <v>16.810542398777692</v>
      </c>
      <c r="BQ25" s="658">
        <f>'WNTR-Calcs'!L43</f>
        <v>-17.687439999999999</v>
      </c>
      <c r="BR25" s="645">
        <f>'WNTR-Calcs'!R43</f>
        <v>8.6808707753547834E-2</v>
      </c>
      <c r="BS25" s="215">
        <f>'SMMR-Calcs'!AO44</f>
        <v>-659.18869121624925</v>
      </c>
      <c r="BT25" s="694">
        <f>'SMMR-Calcs'!AP44</f>
        <v>-7.8474844192410631E-2</v>
      </c>
      <c r="BU25" s="699">
        <f>IF(BK25="XX", "XX", BS25*1.08*$AG$10/1000)</f>
        <v>-5681.8637401646365</v>
      </c>
      <c r="BV25" s="602"/>
      <c r="BW25" s="602"/>
      <c r="BX25" s="602"/>
      <c r="BY25" s="602"/>
      <c r="BZ25" s="602"/>
      <c r="CA25" s="602"/>
      <c r="CB25" s="250"/>
      <c r="CC25" s="250"/>
      <c r="CD25" s="219">
        <f t="shared" si="25"/>
        <v>9</v>
      </c>
      <c r="CE25" s="551">
        <f t="shared" si="25"/>
        <v>21</v>
      </c>
      <c r="CF25" s="551">
        <f t="shared" si="25"/>
        <v>406.5</v>
      </c>
      <c r="CG25" s="552"/>
      <c r="CH25" s="250"/>
      <c r="CI25" s="615">
        <f>'SMMR-Calcs'!L44</f>
        <v>93.552859999999995</v>
      </c>
      <c r="CJ25" s="616">
        <f>'SMMR-Calcs'!M44</f>
        <v>73.552859999999995</v>
      </c>
      <c r="CK25" s="616">
        <f>'SMMR-Calcs'!S44</f>
        <v>37.658902636428223</v>
      </c>
      <c r="CL25" s="617">
        <f>IF(AK25="XX", "XX", AY25)</f>
        <v>-659.18869121624925</v>
      </c>
      <c r="CM25" s="618">
        <f>IF(AK25="XX",  "XX", CL25*60/CJ25)</f>
        <v>-537.72649320468236</v>
      </c>
      <c r="CN25" s="585">
        <f>'SMMR-Calcs'!AQ44</f>
        <v>-13208.222341855762</v>
      </c>
      <c r="CO25" s="586">
        <f>'SMMR-Calcs'!AR44</f>
        <v>-2135.7713595406476</v>
      </c>
      <c r="CP25" s="197"/>
      <c r="CQ25" s="615">
        <f>'WNTR-Calcs'!L44</f>
        <v>-17.447140000000001</v>
      </c>
      <c r="CR25" s="616">
        <f>'WNTR-Calcs'!Q44</f>
        <v>11.497657829069512</v>
      </c>
      <c r="CS25" s="616">
        <f>'WNTR-Calcs'!S44</f>
        <v>-3.7546627898078273</v>
      </c>
      <c r="CT25" s="617">
        <f>IF(AR25="XX", "XX", BS25)</f>
        <v>-659.18869121624925</v>
      </c>
      <c r="CU25" s="618">
        <f>IF(AR25="XX",  "XX", CT25*60/CR25)</f>
        <v>-3439.9459490764634</v>
      </c>
      <c r="CV25" s="585">
        <f>'WNTR-Calcs'!AQ44</f>
        <v>-112041.08467575148</v>
      </c>
      <c r="CW25" s="586">
        <f>'WNTR-Calcs'!AR44</f>
        <v>3757.7864873852245</v>
      </c>
      <c r="CX25" s="609"/>
      <c r="CY25" s="250"/>
    </row>
    <row r="26" spans="1:103" ht="16.05" customHeight="1" thickBot="1">
      <c r="A26" s="250"/>
      <c r="B26" s="723">
        <f t="shared" si="3"/>
        <v>0.38000000000000006</v>
      </c>
      <c r="C26" s="734">
        <f t="shared" si="4"/>
        <v>0.77887796706157031</v>
      </c>
      <c r="D26" s="250"/>
      <c r="E26" s="560"/>
      <c r="F26" s="568"/>
      <c r="G26" s="568" t="s">
        <v>145</v>
      </c>
      <c r="H26" s="357">
        <v>0</v>
      </c>
      <c r="I26" s="358">
        <v>0</v>
      </c>
      <c r="J26" s="358">
        <v>0</v>
      </c>
      <c r="K26" s="358">
        <v>0</v>
      </c>
      <c r="L26" s="358">
        <v>0</v>
      </c>
      <c r="M26" s="358">
        <v>0</v>
      </c>
      <c r="N26" s="358">
        <v>0</v>
      </c>
      <c r="O26" s="359">
        <v>0</v>
      </c>
      <c r="P26" s="182"/>
      <c r="Q26" s="231">
        <f>Q28+1</f>
        <v>8</v>
      </c>
      <c r="R26" s="341">
        <v>5</v>
      </c>
      <c r="S26" s="363">
        <v>1</v>
      </c>
      <c r="T26" s="341">
        <v>5</v>
      </c>
      <c r="U26" s="414"/>
      <c r="V26" s="495"/>
      <c r="W26" s="560"/>
      <c r="X26" s="561"/>
      <c r="Y26" s="568" t="s">
        <v>145</v>
      </c>
      <c r="Z26" s="337">
        <v>0</v>
      </c>
      <c r="AA26" s="338">
        <v>5.0000000000000001E-3</v>
      </c>
      <c r="AB26" s="338">
        <v>5.0000000000000001E-3</v>
      </c>
      <c r="AC26" s="338">
        <v>5.0000000000000001E-3</v>
      </c>
      <c r="AD26" s="338">
        <v>5.0000000000000001E-3</v>
      </c>
      <c r="AE26" s="338">
        <v>5.0000000000000001E-3</v>
      </c>
      <c r="AF26" s="338">
        <v>5.0000000000000001E-3</v>
      </c>
      <c r="AG26" s="339">
        <v>5.0000000000000001E-3</v>
      </c>
      <c r="AH26" s="273"/>
      <c r="AI26" s="231">
        <f>AI28+1</f>
        <v>8</v>
      </c>
      <c r="AJ26" s="341">
        <v>5</v>
      </c>
      <c r="AK26" s="387">
        <f xml:space="preserve"> IF(AJ26&lt;=0, "XX", Z$29 + AA$29 + AB$29+AJ26)</f>
        <v>17</v>
      </c>
      <c r="AL26" s="393">
        <f>IF(AK26="XX", "XX", $Z$11 + Z$34 + AA$34 + AB$34 + AJ26*AC$21)</f>
        <v>771.5</v>
      </c>
      <c r="AM26" s="394">
        <f t="shared" si="5"/>
        <v>235.1532</v>
      </c>
      <c r="AN26" s="250"/>
      <c r="AO26" s="250"/>
      <c r="AP26" s="220">
        <f t="shared" si="21"/>
        <v>8</v>
      </c>
      <c r="AQ26" s="239">
        <f t="shared" si="22"/>
        <v>17</v>
      </c>
      <c r="AR26" s="241">
        <f>'SMMR-Calcs'!AH45</f>
        <v>271.5</v>
      </c>
      <c r="AS26" s="242"/>
      <c r="AT26" s="248"/>
      <c r="AU26" s="674">
        <f>'SMMR-Calcs'!J45</f>
        <v>14.290848787700252</v>
      </c>
      <c r="AV26" s="620">
        <f>'SMMR-Calcs'!K45</f>
        <v>6.0370511841100072</v>
      </c>
      <c r="AW26" s="620">
        <f>'SMMR-Calcs'!L45</f>
        <v>94.033460000000005</v>
      </c>
      <c r="AX26" s="655">
        <f>'SMMR-Calcs'!R45</f>
        <v>6.8313769862191981E-2</v>
      </c>
      <c r="AY26" s="216">
        <f>'SMMR-Calcs'!AO45</f>
        <v>-779.11252309092094</v>
      </c>
      <c r="AZ26" s="683">
        <f>'SMMR-Calcs'!AP45</f>
        <v>-9.275149084415725E-2</v>
      </c>
      <c r="BA26" s="699">
        <f t="shared" si="23"/>
        <v>-187.92194056953014</v>
      </c>
      <c r="BB26" s="600"/>
      <c r="BC26" s="600"/>
      <c r="BD26" s="600"/>
      <c r="BE26" s="600"/>
      <c r="BF26" s="600"/>
      <c r="BG26" s="600"/>
      <c r="BH26" s="254"/>
      <c r="BI26" s="254"/>
      <c r="BJ26" s="219">
        <f t="shared" si="24"/>
        <v>8</v>
      </c>
      <c r="BK26" s="25">
        <f t="shared" si="24"/>
        <v>17</v>
      </c>
      <c r="BL26" s="265">
        <f t="shared" si="24"/>
        <v>271.5</v>
      </c>
      <c r="BM26" s="242"/>
      <c r="BN26" s="250"/>
      <c r="BO26" s="649">
        <f>'WNTR-Calcs'!J44</f>
        <v>14.220902739466119</v>
      </c>
      <c r="BP26" s="650">
        <f>'WNTR-Calcs'!K44</f>
        <v>16.552711993888465</v>
      </c>
      <c r="BQ26" s="658">
        <f>'WNTR-Calcs'!L44</f>
        <v>-17.447140000000001</v>
      </c>
      <c r="BR26" s="645">
        <f>'WNTR-Calcs'!R44</f>
        <v>8.6974235524012677E-2</v>
      </c>
      <c r="BS26" s="215">
        <f>'SMMR-Calcs'!AO45</f>
        <v>-779.11252309092094</v>
      </c>
      <c r="BT26" s="694">
        <f>'SMMR-Calcs'!AP45</f>
        <v>-9.275149084415725E-2</v>
      </c>
      <c r="BU26" s="704">
        <f>IF(BK26="XX", "XX", BS26*1.08*$AG$10/1000)</f>
        <v>-6715.5448105317319</v>
      </c>
      <c r="BV26" s="602"/>
      <c r="BW26" s="602"/>
      <c r="BX26" s="602"/>
      <c r="BY26" s="602"/>
      <c r="BZ26" s="602"/>
      <c r="CA26" s="602"/>
      <c r="CB26" s="250"/>
      <c r="CC26" s="250"/>
      <c r="CD26" s="220">
        <f t="shared" si="25"/>
        <v>8</v>
      </c>
      <c r="CE26" s="554">
        <f t="shared" si="25"/>
        <v>17</v>
      </c>
      <c r="CF26" s="554">
        <f t="shared" si="25"/>
        <v>271.5</v>
      </c>
      <c r="CG26" s="555"/>
      <c r="CH26" s="250"/>
      <c r="CI26" s="619">
        <f>'SMMR-Calcs'!L45</f>
        <v>94.033460000000005</v>
      </c>
      <c r="CJ26" s="628">
        <f>'SMMR-Calcs'!M45</f>
        <v>74.033460000000005</v>
      </c>
      <c r="CK26" s="628">
        <f>'SMMR-Calcs'!S45</f>
        <v>38.010768947925555</v>
      </c>
      <c r="CL26" s="617">
        <f>IF(AK26="XX", "XX", AY26)</f>
        <v>-779.11252309092094</v>
      </c>
      <c r="CM26" s="622">
        <f>IF(AK26="XX",  "XX", CL26*60/CJ26)</f>
        <v>-631.42734900483185</v>
      </c>
      <c r="CN26" s="585">
        <f>'SMMR-Calcs'!AQ45</f>
        <v>-16015.543607250134</v>
      </c>
      <c r="CO26" s="586">
        <f>'SMMR-Calcs'!AR45</f>
        <v>-2524.3245748145841</v>
      </c>
      <c r="CP26" s="197"/>
      <c r="CQ26" s="615">
        <f>'WNTR-Calcs'!L45</f>
        <v>-16.966539999999998</v>
      </c>
      <c r="CR26" s="616">
        <f>'WNTR-Calcs'!Q45</f>
        <v>11.453966332896291</v>
      </c>
      <c r="CS26" s="616">
        <f>'WNTR-Calcs'!S45</f>
        <v>-3.6306486788757093</v>
      </c>
      <c r="CT26" s="617">
        <f>IF(AR26="XX", "XX", BS26)</f>
        <v>-779.11252309092094</v>
      </c>
      <c r="CU26" s="618">
        <f>IF(AR26="XX",  "XX", CT26*60/CR26)</f>
        <v>-4081.2719390659067</v>
      </c>
      <c r="CV26" s="585">
        <f>'WNTR-Calcs'!AQ45</f>
        <v>-140632.97294793857</v>
      </c>
      <c r="CW26" s="586">
        <f>'WNTR-Calcs'!AR45</f>
        <v>4742.2201520236231</v>
      </c>
      <c r="CX26" s="609"/>
      <c r="CY26" s="250"/>
    </row>
    <row r="27" spans="1:103" ht="16.05" customHeight="1" thickBot="1">
      <c r="A27" s="250"/>
      <c r="B27" s="723">
        <f t="shared" si="3"/>
        <v>0.40000000000000008</v>
      </c>
      <c r="C27" s="734">
        <f t="shared" si="4"/>
        <v>0.81987154427533726</v>
      </c>
      <c r="D27" s="250"/>
      <c r="E27" s="506"/>
      <c r="F27" s="505"/>
      <c r="G27" s="505"/>
      <c r="H27" s="505"/>
      <c r="I27" s="505"/>
      <c r="J27" s="504"/>
      <c r="K27" s="504"/>
      <c r="L27" s="495"/>
      <c r="M27" s="504"/>
      <c r="N27" s="573"/>
      <c r="O27" s="573"/>
      <c r="P27" s="182"/>
      <c r="Q27" s="709"/>
      <c r="R27" s="406"/>
      <c r="S27" s="409"/>
      <c r="T27" s="407"/>
      <c r="U27" s="413"/>
      <c r="V27" s="495"/>
      <c r="W27" s="197"/>
      <c r="X27" s="197"/>
      <c r="Y27" s="197"/>
      <c r="Z27" s="200"/>
      <c r="AA27" s="200"/>
      <c r="AB27" s="200"/>
      <c r="AC27" s="200"/>
      <c r="AD27" s="250"/>
      <c r="AE27" s="250"/>
      <c r="AF27" s="250"/>
      <c r="AG27" s="250"/>
      <c r="AH27" s="278"/>
      <c r="AI27" s="398" t="s">
        <v>192</v>
      </c>
      <c r="AJ27" s="400"/>
      <c r="AK27" s="369">
        <f>AB17</f>
        <v>3</v>
      </c>
      <c r="AL27" s="401" t="s">
        <v>193</v>
      </c>
      <c r="AM27" s="403">
        <f>AB29</f>
        <v>6</v>
      </c>
      <c r="AN27" s="250"/>
      <c r="AO27" s="250"/>
      <c r="AP27" s="370" t="str">
        <f>AI27</f>
        <v>Section &gt;&gt;</v>
      </c>
      <c r="AQ27" s="372"/>
      <c r="AR27" s="376">
        <f>AK27</f>
        <v>3</v>
      </c>
      <c r="AS27" s="229">
        <f>AB33</f>
        <v>36</v>
      </c>
      <c r="AT27" s="249"/>
      <c r="AU27" s="646" t="s">
        <v>148</v>
      </c>
      <c r="AV27" s="647" t="s">
        <v>151</v>
      </c>
      <c r="AW27" s="647" t="s">
        <v>149</v>
      </c>
      <c r="AX27" s="648" t="s">
        <v>150</v>
      </c>
      <c r="AY27" s="556" t="s">
        <v>146</v>
      </c>
      <c r="AZ27" s="684" t="s">
        <v>147</v>
      </c>
      <c r="BA27" s="692" t="s">
        <v>237</v>
      </c>
      <c r="BB27" s="152"/>
      <c r="BC27" s="152"/>
      <c r="BD27" s="152"/>
      <c r="BE27" s="152"/>
      <c r="BF27" s="152"/>
      <c r="BG27" s="152"/>
      <c r="BH27" s="254"/>
      <c r="BI27" s="254"/>
      <c r="BJ27" s="370" t="str">
        <f>AI27</f>
        <v>Section &gt;&gt;</v>
      </c>
      <c r="BK27" s="380"/>
      <c r="BL27" s="384">
        <f>AR27</f>
        <v>3</v>
      </c>
      <c r="BM27" s="229">
        <f>AS27</f>
        <v>36</v>
      </c>
      <c r="BN27" s="250"/>
      <c r="BO27" s="656" t="s">
        <v>148</v>
      </c>
      <c r="BP27" s="647" t="s">
        <v>151</v>
      </c>
      <c r="BQ27" s="657" t="s">
        <v>149</v>
      </c>
      <c r="BR27" s="648" t="s">
        <v>150</v>
      </c>
      <c r="BS27" s="556" t="s">
        <v>146</v>
      </c>
      <c r="BT27" s="695" t="s">
        <v>147</v>
      </c>
      <c r="BU27" s="705" t="s">
        <v>239</v>
      </c>
      <c r="BV27" s="478"/>
      <c r="BW27" s="478"/>
      <c r="BX27" s="478"/>
      <c r="BY27" s="478"/>
      <c r="BZ27" s="478"/>
      <c r="CA27" s="478"/>
      <c r="CB27" s="250"/>
      <c r="CC27" s="250"/>
      <c r="CD27" s="557"/>
      <c r="CE27" s="558"/>
      <c r="CF27" s="559">
        <f>AR27</f>
        <v>3</v>
      </c>
      <c r="CG27" s="229">
        <f>AS27</f>
        <v>36</v>
      </c>
      <c r="CH27" s="250"/>
      <c r="CI27" s="623" t="s">
        <v>149</v>
      </c>
      <c r="CJ27" s="632" t="s">
        <v>235</v>
      </c>
      <c r="CK27" s="632" t="s">
        <v>236</v>
      </c>
      <c r="CL27" s="625" t="s">
        <v>158</v>
      </c>
      <c r="CM27" s="626" t="s">
        <v>159</v>
      </c>
      <c r="CN27" s="587" t="s">
        <v>204</v>
      </c>
      <c r="CO27" s="588" t="s">
        <v>234</v>
      </c>
      <c r="CP27" s="197"/>
      <c r="CQ27" s="623" t="s">
        <v>149</v>
      </c>
      <c r="CR27" s="632" t="s">
        <v>235</v>
      </c>
      <c r="CS27" s="632" t="s">
        <v>236</v>
      </c>
      <c r="CT27" s="625" t="s">
        <v>158</v>
      </c>
      <c r="CU27" s="626" t="s">
        <v>159</v>
      </c>
      <c r="CV27" s="587" t="s">
        <v>204</v>
      </c>
      <c r="CW27" s="588" t="s">
        <v>234</v>
      </c>
      <c r="CX27" s="608"/>
      <c r="CY27" s="250"/>
    </row>
    <row r="28" spans="1:103" ht="16.05" customHeight="1" thickTop="1">
      <c r="A28" s="250"/>
      <c r="B28" s="723">
        <f t="shared" si="3"/>
        <v>0.4200000000000001</v>
      </c>
      <c r="C28" s="734">
        <f t="shared" si="4"/>
        <v>0.8608651214891041</v>
      </c>
      <c r="D28" s="250"/>
      <c r="E28" s="546" t="s">
        <v>166</v>
      </c>
      <c r="F28" s="547"/>
      <c r="G28" s="548" t="s">
        <v>88</v>
      </c>
      <c r="H28" s="312" t="s">
        <v>55</v>
      </c>
      <c r="I28" s="313" t="s">
        <v>186</v>
      </c>
      <c r="J28" s="313" t="s">
        <v>187</v>
      </c>
      <c r="K28" s="313" t="s">
        <v>39</v>
      </c>
      <c r="L28" s="313" t="s">
        <v>188</v>
      </c>
      <c r="M28" s="313" t="s">
        <v>156</v>
      </c>
      <c r="N28" s="313" t="s">
        <v>189</v>
      </c>
      <c r="O28" s="315" t="s">
        <v>190</v>
      </c>
      <c r="P28" s="66"/>
      <c r="Q28" s="230">
        <f>Q29+1</f>
        <v>7</v>
      </c>
      <c r="R28" s="340">
        <v>0</v>
      </c>
      <c r="S28" s="362">
        <v>3</v>
      </c>
      <c r="T28" s="340">
        <v>5</v>
      </c>
      <c r="U28" s="413"/>
      <c r="V28" s="495"/>
      <c r="W28" s="574"/>
      <c r="X28" s="575"/>
      <c r="Y28" s="576" t="s">
        <v>177</v>
      </c>
      <c r="Z28" s="324">
        <f>Z17</f>
        <v>1</v>
      </c>
      <c r="AA28" s="324" t="str">
        <f t="shared" ref="AA28:AG28" si="26">AA17</f>
        <v>2-A</v>
      </c>
      <c r="AB28" s="324">
        <f t="shared" si="26"/>
        <v>3</v>
      </c>
      <c r="AC28" s="324" t="str">
        <f t="shared" si="26"/>
        <v>4-k</v>
      </c>
      <c r="AD28" s="324">
        <f t="shared" si="26"/>
        <v>5</v>
      </c>
      <c r="AE28" s="324" t="str">
        <f t="shared" si="26"/>
        <v>6 (x)</v>
      </c>
      <c r="AF28" s="324">
        <f t="shared" si="26"/>
        <v>7</v>
      </c>
      <c r="AG28" s="324">
        <f t="shared" si="26"/>
        <v>8</v>
      </c>
      <c r="AH28" s="283"/>
      <c r="AI28" s="230">
        <f>AI29+1</f>
        <v>7</v>
      </c>
      <c r="AJ28" s="340">
        <v>0</v>
      </c>
      <c r="AK28" s="386" t="str">
        <f xml:space="preserve"> IF(AJ28&lt;=0, "XX", Z$29 + AA$29+AJ28)</f>
        <v>XX</v>
      </c>
      <c r="AL28" s="26" t="str">
        <f>IF(AK28="XX", "XX", $Z$11 + Z$34 + AA$34 + AJ28*AB$21)</f>
        <v>XX</v>
      </c>
      <c r="AM28" s="402" t="str">
        <f t="shared" si="5"/>
        <v>XX</v>
      </c>
      <c r="AN28" s="250"/>
      <c r="AO28" s="250"/>
      <c r="AP28" s="219">
        <f t="shared" ref="AP28:AP30" si="27">AI28</f>
        <v>7</v>
      </c>
      <c r="AQ28" s="239" t="str">
        <f t="shared" ref="AQ28:AQ30" si="28">AK28</f>
        <v>XX</v>
      </c>
      <c r="AR28" s="371" t="str">
        <f>'SMMR-Calcs'!AH50</f>
        <v>XX</v>
      </c>
      <c r="AS28" s="240"/>
      <c r="AT28" s="248"/>
      <c r="AU28" s="644" t="str">
        <f>'SMMR-Calcs'!J50</f>
        <v>XX</v>
      </c>
      <c r="AV28" s="616" t="str">
        <f>'SMMR-Calcs'!K50</f>
        <v>XX</v>
      </c>
      <c r="AW28" s="616" t="str">
        <f>'SMMR-Calcs'!L50</f>
        <v>XX</v>
      </c>
      <c r="AX28" s="645" t="str">
        <f>'SMMR-Calcs'!R50</f>
        <v>XX</v>
      </c>
      <c r="AY28" s="215" t="str">
        <f>'SMMR-Calcs'!AO50</f>
        <v>XX</v>
      </c>
      <c r="AZ28" s="682" t="str">
        <f>'SMMR-Calcs'!AP50</f>
        <v>XX</v>
      </c>
      <c r="BA28" s="699" t="str">
        <f t="shared" ref="BA28:BA30" si="29">IF(AK28="XX", "XX", AY28*1.08*$AF$10/12000)</f>
        <v>XX</v>
      </c>
      <c r="BB28" s="600"/>
      <c r="BC28" s="600"/>
      <c r="BD28" s="600"/>
      <c r="BE28" s="600"/>
      <c r="BF28" s="600"/>
      <c r="BG28" s="600"/>
      <c r="BH28" s="254"/>
      <c r="BI28" s="254"/>
      <c r="BJ28" s="219">
        <f t="shared" ref="BJ28:BL30" si="30">AP28</f>
        <v>7</v>
      </c>
      <c r="BK28" s="25" t="str">
        <f t="shared" si="30"/>
        <v>XX</v>
      </c>
      <c r="BL28" s="383" t="str">
        <f t="shared" si="30"/>
        <v>XX</v>
      </c>
      <c r="BM28" s="240"/>
      <c r="BN28" s="250"/>
      <c r="BO28" s="649" t="str">
        <f>'WNTR-Calcs'!J50</f>
        <v>XX</v>
      </c>
      <c r="BP28" s="650" t="str">
        <f>'WNTR-Calcs'!K50</f>
        <v>XX</v>
      </c>
      <c r="BQ28" s="658" t="str">
        <f>'WNTR-Calcs'!L50</f>
        <v>XX</v>
      </c>
      <c r="BR28" s="645" t="str">
        <f>'WNTR-Calcs'!R50</f>
        <v>XX</v>
      </c>
      <c r="BS28" s="215" t="str">
        <f>'WNTR-Calcs'!AO50</f>
        <v>XX</v>
      </c>
      <c r="BT28" s="694" t="str">
        <f>'WNTR-Calcs'!AP50</f>
        <v>XX</v>
      </c>
      <c r="BU28" s="699" t="str">
        <f>IF(BK28="XX", "XX", BS28*1.08*$AG$10/1000)</f>
        <v>XX</v>
      </c>
      <c r="BV28" s="602"/>
      <c r="BW28" s="602"/>
      <c r="BX28" s="602"/>
      <c r="BY28" s="602"/>
      <c r="BZ28" s="602"/>
      <c r="CA28" s="602"/>
      <c r="CB28" s="250"/>
      <c r="CC28" s="250"/>
      <c r="CD28" s="219">
        <f t="shared" ref="CD28:CF30" si="31">AP28</f>
        <v>7</v>
      </c>
      <c r="CE28" s="551" t="str">
        <f t="shared" si="31"/>
        <v>XX</v>
      </c>
      <c r="CF28" s="551" t="str">
        <f t="shared" si="31"/>
        <v>XX</v>
      </c>
      <c r="CG28" s="562"/>
      <c r="CH28" s="250"/>
      <c r="CI28" s="615" t="str">
        <f>'SMMR-Calcs'!L50</f>
        <v>XX</v>
      </c>
      <c r="CJ28" s="616" t="str">
        <f>'SMMR-Calcs'!Q50</f>
        <v>XX</v>
      </c>
      <c r="CK28" s="616" t="str">
        <f>'SMMR-Calcs'!S50</f>
        <v>XX</v>
      </c>
      <c r="CL28" s="617" t="str">
        <f>IF(AK28="XX", "XX", AY28)</f>
        <v>XX</v>
      </c>
      <c r="CM28" s="618" t="str">
        <f>IF(AK28="XX",  "XX", CL28*60/CJ28)</f>
        <v>XX</v>
      </c>
      <c r="CN28" s="585" t="str">
        <f>'SMMR-Calcs'!AQ50</f>
        <v>XX</v>
      </c>
      <c r="CO28" s="586" t="str">
        <f>'SMMR-Calcs'!AR50</f>
        <v>XX</v>
      </c>
      <c r="CP28" s="197"/>
      <c r="CQ28" s="615" t="str">
        <f>'WNTR-Calcs'!L50</f>
        <v>XX</v>
      </c>
      <c r="CR28" s="616" t="str">
        <f>'WNTR-Calcs'!Q50</f>
        <v>XX</v>
      </c>
      <c r="CS28" s="616" t="str">
        <f>'WNTR-Calcs'!S50</f>
        <v>XX</v>
      </c>
      <c r="CT28" s="617" t="str">
        <f>IF(AR28="XX", "XX", BS28)</f>
        <v>XX</v>
      </c>
      <c r="CU28" s="618" t="str">
        <f>IF(AR28="XX",  "XX", CT28*60/CR28)</f>
        <v>XX</v>
      </c>
      <c r="CV28" s="585" t="str">
        <f>'WNTR-Calcs'!AQ50</f>
        <v>XX</v>
      </c>
      <c r="CW28" s="586" t="str">
        <f>'WNTR-Calcs'!AR50</f>
        <v>XX</v>
      </c>
      <c r="CX28" s="609"/>
      <c r="CY28" s="250"/>
    </row>
    <row r="29" spans="1:103" ht="16.05" customHeight="1" thickBot="1">
      <c r="A29" s="250"/>
      <c r="B29" s="723">
        <f t="shared" si="3"/>
        <v>0.44000000000000011</v>
      </c>
      <c r="C29" s="734">
        <f t="shared" si="4"/>
        <v>0.90185869870287094</v>
      </c>
      <c r="D29" s="250"/>
      <c r="E29" s="549"/>
      <c r="F29" s="550"/>
      <c r="G29" s="553" t="s">
        <v>120</v>
      </c>
      <c r="H29" s="343" t="s">
        <v>110</v>
      </c>
      <c r="I29" s="344" t="s">
        <v>110</v>
      </c>
      <c r="J29" s="344" t="s">
        <v>110</v>
      </c>
      <c r="K29" s="344" t="s">
        <v>110</v>
      </c>
      <c r="L29" s="344" t="s">
        <v>110</v>
      </c>
      <c r="M29" s="344" t="s">
        <v>110</v>
      </c>
      <c r="N29" s="344" t="s">
        <v>110</v>
      </c>
      <c r="O29" s="346" t="s">
        <v>110</v>
      </c>
      <c r="P29" s="270"/>
      <c r="Q29" s="230">
        <f>Q30+1</f>
        <v>6</v>
      </c>
      <c r="R29" s="342">
        <v>2</v>
      </c>
      <c r="S29" s="364">
        <v>2</v>
      </c>
      <c r="T29" s="341">
        <v>3</v>
      </c>
      <c r="U29" s="413"/>
      <c r="V29" s="495"/>
      <c r="W29" s="549"/>
      <c r="X29" s="550"/>
      <c r="Y29" s="577" t="s">
        <v>90</v>
      </c>
      <c r="Z29" s="201">
        <f>Z22+(IF(Z23="Y", 1,0))</f>
        <v>2</v>
      </c>
      <c r="AA29" s="202">
        <f t="shared" ref="AA29:AG29" si="32">AA22+(IF(AA23="Y", 1,0))</f>
        <v>4</v>
      </c>
      <c r="AB29" s="202">
        <f t="shared" si="32"/>
        <v>6</v>
      </c>
      <c r="AC29" s="202">
        <f t="shared" si="32"/>
        <v>41</v>
      </c>
      <c r="AD29" s="202">
        <f t="shared" si="32"/>
        <v>5</v>
      </c>
      <c r="AE29" s="202">
        <f t="shared" si="32"/>
        <v>25</v>
      </c>
      <c r="AF29" s="202">
        <f t="shared" si="32"/>
        <v>16</v>
      </c>
      <c r="AG29" s="203">
        <f t="shared" si="32"/>
        <v>3</v>
      </c>
      <c r="AH29" s="284"/>
      <c r="AI29" s="230">
        <f>AI30+1</f>
        <v>6</v>
      </c>
      <c r="AJ29" s="342">
        <v>2</v>
      </c>
      <c r="AK29" s="388">
        <f xml:space="preserve"> IF(AJ29&lt;=0, "XX", Z$29 + AA$29+AJ29)</f>
        <v>8</v>
      </c>
      <c r="AL29" s="26">
        <f>IF(AK29="XX", "XX", $Z$11 + Z$34 + AA$34 + AJ29*AB$21)</f>
        <v>644</v>
      </c>
      <c r="AM29" s="392">
        <f t="shared" si="5"/>
        <v>196.2912</v>
      </c>
      <c r="AN29" s="250"/>
      <c r="AO29" s="250"/>
      <c r="AP29" s="219">
        <f t="shared" si="27"/>
        <v>6</v>
      </c>
      <c r="AQ29" s="239">
        <f t="shared" si="28"/>
        <v>8</v>
      </c>
      <c r="AR29" s="239">
        <f>'SMMR-Calcs'!AH51</f>
        <v>144</v>
      </c>
      <c r="AS29" s="243"/>
      <c r="AT29" s="248"/>
      <c r="AU29" s="644">
        <f>'SMMR-Calcs'!J51</f>
        <v>14.35716447749193</v>
      </c>
      <c r="AV29" s="616">
        <f>'SMMR-Calcs'!K51</f>
        <v>5.5500381970970203</v>
      </c>
      <c r="AW29" s="616">
        <f>'SMMR-Calcs'!L51</f>
        <v>94.487359999999995</v>
      </c>
      <c r="AX29" s="645">
        <f>'SMMR-Calcs'!R51</f>
        <v>6.8552802382769562E-2</v>
      </c>
      <c r="AY29" s="215">
        <f>'SMMR-Calcs'!AO51</f>
        <v>-1306.4636850619522</v>
      </c>
      <c r="AZ29" s="682">
        <f>'SMMR-Calcs'!AP51</f>
        <v>-0.15553139107880384</v>
      </c>
      <c r="BA29" s="699">
        <f t="shared" si="29"/>
        <v>-315.11904083694287</v>
      </c>
      <c r="BB29" s="600"/>
      <c r="BC29" s="600"/>
      <c r="BD29" s="600"/>
      <c r="BE29" s="600"/>
      <c r="BF29" s="600"/>
      <c r="BG29" s="600"/>
      <c r="BH29" s="254"/>
      <c r="BI29" s="254"/>
      <c r="BJ29" s="219">
        <f t="shared" si="30"/>
        <v>6</v>
      </c>
      <c r="BK29" s="25">
        <f t="shared" si="30"/>
        <v>8</v>
      </c>
      <c r="BL29" s="263">
        <f t="shared" si="30"/>
        <v>144</v>
      </c>
      <c r="BM29" s="243"/>
      <c r="BN29" s="250"/>
      <c r="BO29" s="649">
        <f>'WNTR-Calcs'!J51</f>
        <v>14.35716447749193</v>
      </c>
      <c r="BP29" s="650">
        <f>'WNTR-Calcs'!K51</f>
        <v>15.55003819709702</v>
      </c>
      <c r="BQ29" s="658">
        <f>'WNTR-Calcs'!L51</f>
        <v>-16.512640000000001</v>
      </c>
      <c r="BR29" s="645">
        <f>'WNTR-Calcs'!R51</f>
        <v>8.7620206387783769E-2</v>
      </c>
      <c r="BS29" s="215">
        <f>'WNTR-Calcs'!AO51</f>
        <v>2517.3533212481502</v>
      </c>
      <c r="BT29" s="694">
        <f>'WNTR-Calcs'!AP51</f>
        <v>0.29968491919620838</v>
      </c>
      <c r="BU29" s="699">
        <f>IF(BK29="XX", "XX", BS29*1.08*$AG$10/1000)</f>
        <v>21698.276605432009</v>
      </c>
      <c r="BV29" s="602"/>
      <c r="BW29" s="602"/>
      <c r="BX29" s="602"/>
      <c r="BY29" s="602"/>
      <c r="BZ29" s="602"/>
      <c r="CA29" s="602"/>
      <c r="CB29" s="250"/>
      <c r="CC29" s="250"/>
      <c r="CD29" s="219">
        <f t="shared" si="31"/>
        <v>6</v>
      </c>
      <c r="CE29" s="551">
        <f t="shared" si="31"/>
        <v>8</v>
      </c>
      <c r="CF29" s="551">
        <f t="shared" si="31"/>
        <v>144</v>
      </c>
      <c r="CG29" s="552"/>
      <c r="CH29" s="250"/>
      <c r="CI29" s="615">
        <f>'SMMR-Calcs'!L51</f>
        <v>94.487359999999995</v>
      </c>
      <c r="CJ29" s="616">
        <f>'SMMR-Calcs'!Q51</f>
        <v>14.587295708444232</v>
      </c>
      <c r="CK29" s="616">
        <f>'SMMR-Calcs'!S51</f>
        <v>38.345196659709003</v>
      </c>
      <c r="CL29" s="617">
        <f>IF(AK29="XX", "XX", AY29)</f>
        <v>-1306.4636850619522</v>
      </c>
      <c r="CM29" s="618">
        <f>IF(AK29="XX",  "XX", CL29*60/CJ29)</f>
        <v>-5373.704809339014</v>
      </c>
      <c r="CN29" s="585">
        <f>'SMMR-Calcs'!AQ51</f>
        <v>-27496.290410347192</v>
      </c>
      <c r="CO29" s="586">
        <f>'SMMR-Calcs'!AR51</f>
        <v>-4232.9423396007251</v>
      </c>
      <c r="CP29" s="197"/>
      <c r="CQ29" s="615">
        <f>'WNTR-Calcs'!L51</f>
        <v>-16.512640000000001</v>
      </c>
      <c r="CR29" s="616">
        <f>'WNTR-Calcs'!Q51</f>
        <v>11.412892541867175</v>
      </c>
      <c r="CS29" s="616">
        <f>'WNTR-Calcs'!S51</f>
        <v>-3.5133871028255239</v>
      </c>
      <c r="CT29" s="617">
        <f>IF(AR29="XX", "XX", BS29)</f>
        <v>2517.3533212481502</v>
      </c>
      <c r="CU29" s="618">
        <f>IF(AR29="XX",  "XX", CT29*60/CR29)</f>
        <v>13234.261053524153</v>
      </c>
      <c r="CV29" s="585">
        <f>'WNTR-Calcs'!AQ51</f>
        <v>-240642.99533855723</v>
      </c>
      <c r="CW29" s="586">
        <f>'WNTR-Calcs'!AR51</f>
        <v>8156.2247608440075</v>
      </c>
      <c r="CX29" s="609"/>
      <c r="CY29" s="250"/>
    </row>
    <row r="30" spans="1:103" ht="16.05" customHeight="1" thickTop="1" thickBot="1">
      <c r="A30" s="250"/>
      <c r="B30" s="723">
        <f t="shared" si="3"/>
        <v>0.46000000000000013</v>
      </c>
      <c r="C30" s="734">
        <f t="shared" si="4"/>
        <v>0.94285227591663789</v>
      </c>
      <c r="D30" s="250"/>
      <c r="E30" s="549"/>
      <c r="F30" s="550"/>
      <c r="G30" s="550" t="s">
        <v>4</v>
      </c>
      <c r="H30" s="348">
        <v>220</v>
      </c>
      <c r="I30" s="349">
        <v>220</v>
      </c>
      <c r="J30" s="349">
        <v>220</v>
      </c>
      <c r="K30" s="349">
        <v>220</v>
      </c>
      <c r="L30" s="349">
        <v>220</v>
      </c>
      <c r="M30" s="349">
        <v>220</v>
      </c>
      <c r="N30" s="349">
        <v>220</v>
      </c>
      <c r="O30" s="360">
        <v>220</v>
      </c>
      <c r="P30" s="180"/>
      <c r="Q30" s="232">
        <f>Q32+1</f>
        <v>5</v>
      </c>
      <c r="R30" s="341">
        <v>1</v>
      </c>
      <c r="S30" s="363">
        <v>1</v>
      </c>
      <c r="T30" s="368">
        <v>1</v>
      </c>
      <c r="U30" s="414"/>
      <c r="V30" s="495"/>
      <c r="W30" s="549"/>
      <c r="X30" s="550"/>
      <c r="Y30" s="577" t="s">
        <v>25</v>
      </c>
      <c r="Z30" s="204">
        <f>Z19*Z20</f>
        <v>76800</v>
      </c>
      <c r="AA30" s="205">
        <f t="shared" ref="AA30:AG30" si="33">AA19*AA20</f>
        <v>56000</v>
      </c>
      <c r="AB30" s="205">
        <f t="shared" si="33"/>
        <v>38400</v>
      </c>
      <c r="AC30" s="205">
        <f t="shared" si="33"/>
        <v>30800</v>
      </c>
      <c r="AD30" s="205">
        <f t="shared" si="33"/>
        <v>24000</v>
      </c>
      <c r="AE30" s="205">
        <f t="shared" si="33"/>
        <v>18000</v>
      </c>
      <c r="AF30" s="205">
        <f t="shared" si="33"/>
        <v>18000</v>
      </c>
      <c r="AG30" s="206">
        <f t="shared" si="33"/>
        <v>18000</v>
      </c>
      <c r="AH30" s="284"/>
      <c r="AI30" s="232">
        <f>AI32+1</f>
        <v>5</v>
      </c>
      <c r="AJ30" s="341">
        <v>1</v>
      </c>
      <c r="AK30" s="389">
        <f xml:space="preserve"> IF(AJ30&lt;=0, "XX", Z$29 + AA$29+AJ30)</f>
        <v>7</v>
      </c>
      <c r="AL30" s="395">
        <f>IF(AK30="XX", "XX", $Z$11 + Z$34 + AA$34 + AJ30*AB$21)</f>
        <v>629</v>
      </c>
      <c r="AM30" s="396">
        <f t="shared" si="5"/>
        <v>191.7192</v>
      </c>
      <c r="AN30" s="250"/>
      <c r="AO30" s="250"/>
      <c r="AP30" s="221">
        <f t="shared" si="27"/>
        <v>5</v>
      </c>
      <c r="AQ30" s="239">
        <f t="shared" si="28"/>
        <v>7</v>
      </c>
      <c r="AR30" s="241">
        <f>'SMMR-Calcs'!AH52</f>
        <v>129</v>
      </c>
      <c r="AS30" s="244"/>
      <c r="AT30" s="248"/>
      <c r="AU30" s="675">
        <f>'SMMR-Calcs'!J52</f>
        <v>14.364982677102018</v>
      </c>
      <c r="AV30" s="628">
        <f>'SMMR-Calcs'!K52</f>
        <v>5.4927425515660806</v>
      </c>
      <c r="AW30" s="628">
        <f>'SMMR-Calcs'!L52</f>
        <v>94.540760000000006</v>
      </c>
      <c r="AX30" s="662">
        <f>'SMMR-Calcs'!R52</f>
        <v>6.8580951173451463E-2</v>
      </c>
      <c r="AY30" s="217">
        <f>'SMMR-Calcs'!AO52</f>
        <v>-1323.6325342135708</v>
      </c>
      <c r="AZ30" s="685">
        <f>'SMMR-Calcs'!AP52</f>
        <v>-0.15757530169209177</v>
      </c>
      <c r="BA30" s="703">
        <f t="shared" si="29"/>
        <v>-319.26016725231329</v>
      </c>
      <c r="BB30" s="600"/>
      <c r="BC30" s="600"/>
      <c r="BD30" s="600"/>
      <c r="BE30" s="600"/>
      <c r="BF30" s="600"/>
      <c r="BG30" s="600"/>
      <c r="BH30" s="254"/>
      <c r="BI30" s="254"/>
      <c r="BJ30" s="221">
        <f t="shared" si="30"/>
        <v>5</v>
      </c>
      <c r="BK30" s="266">
        <f t="shared" si="30"/>
        <v>7</v>
      </c>
      <c r="BL30" s="265">
        <f t="shared" si="30"/>
        <v>129</v>
      </c>
      <c r="BM30" s="244"/>
      <c r="BN30" s="250"/>
      <c r="BO30" s="649">
        <f>'WNTR-Calcs'!J52</f>
        <v>14.364982677102018</v>
      </c>
      <c r="BP30" s="650">
        <f>'WNTR-Calcs'!K52</f>
        <v>15.492742551566081</v>
      </c>
      <c r="BQ30" s="658">
        <f>'WNTR-Calcs'!L52</f>
        <v>-16.459240000000001</v>
      </c>
      <c r="BR30" s="645">
        <f>'WNTR-Calcs'!R52</f>
        <v>8.765722735179686E-2</v>
      </c>
      <c r="BS30" s="215">
        <f>'WNTR-Calcs'!AO52</f>
        <v>2555.0659700673896</v>
      </c>
      <c r="BT30" s="694">
        <f>'WNTR-Calcs'!AP52</f>
        <v>0.3041745202461178</v>
      </c>
      <c r="BU30" s="703">
        <f>IF(BK30="XX", "XX", BS30*1.08*$AG$10/1000)</f>
        <v>22023.340027676462</v>
      </c>
      <c r="BV30" s="602"/>
      <c r="BW30" s="602"/>
      <c r="BX30" s="602"/>
      <c r="BY30" s="602"/>
      <c r="BZ30" s="602"/>
      <c r="CA30" s="602"/>
      <c r="CB30" s="250"/>
      <c r="CC30" s="250"/>
      <c r="CD30" s="221">
        <f t="shared" si="31"/>
        <v>5</v>
      </c>
      <c r="CE30" s="566">
        <f t="shared" si="31"/>
        <v>7</v>
      </c>
      <c r="CF30" s="566">
        <f t="shared" si="31"/>
        <v>129</v>
      </c>
      <c r="CG30" s="567"/>
      <c r="CH30" s="250"/>
      <c r="CI30" s="627">
        <f>'SMMR-Calcs'!L52</f>
        <v>94.540760000000006</v>
      </c>
      <c r="CJ30" s="628">
        <f>'SMMR-Calcs'!Q52</f>
        <v>14.58130840837787</v>
      </c>
      <c r="CK30" s="628">
        <f>'SMMR-Calcs'!S52</f>
        <v>38.384676505360815</v>
      </c>
      <c r="CL30" s="629">
        <f>IF(AK30="XX", "XX", AY30)</f>
        <v>-1323.6325342135708</v>
      </c>
      <c r="CM30" s="630">
        <f>IF(AK30="XX",  "XX", CL30*60/CJ30)</f>
        <v>-5446.5586920295636</v>
      </c>
      <c r="CN30" s="585">
        <f>'SMMR-Calcs'!AQ52</f>
        <v>-27933.96853359992</v>
      </c>
      <c r="CO30" s="586">
        <f>'SMMR-Calcs'!AR52</f>
        <v>-4288.5694108519701</v>
      </c>
      <c r="CP30" s="197"/>
      <c r="CQ30" s="615">
        <f>'WNTR-Calcs'!L52</f>
        <v>-16.459240000000001</v>
      </c>
      <c r="CR30" s="616">
        <f>'WNTR-Calcs'!Q52</f>
        <v>11.408072445489017</v>
      </c>
      <c r="CS30" s="616">
        <f>'WNTR-Calcs'!S52</f>
        <v>-3.4995827803767137</v>
      </c>
      <c r="CT30" s="617">
        <f>IF(AR30="XX", "XX", BS30)</f>
        <v>2555.0659700673896</v>
      </c>
      <c r="CU30" s="618">
        <f>IF(AR30="XX",  "XX", CT30*60/CR30)</f>
        <v>13438.199918222195</v>
      </c>
      <c r="CV30" s="585">
        <f>'WNTR-Calcs'!AQ52</f>
        <v>-244100.72937098597</v>
      </c>
      <c r="CW30" s="586">
        <f>'WNTR-Calcs'!AR52</f>
        <v>8278.4137430183437</v>
      </c>
      <c r="CX30" s="609"/>
      <c r="CY30" s="250"/>
    </row>
    <row r="31" spans="1:103" ht="16.05" customHeight="1" thickTop="1" thickBot="1">
      <c r="A31" s="250"/>
      <c r="B31" s="723">
        <f t="shared" si="3"/>
        <v>0.48000000000000015</v>
      </c>
      <c r="C31" s="734">
        <f t="shared" si="4"/>
        <v>0.98384585313040473</v>
      </c>
      <c r="D31" s="250"/>
      <c r="E31" s="549"/>
      <c r="F31" s="550"/>
      <c r="G31" s="550" t="s">
        <v>5</v>
      </c>
      <c r="H31" s="348">
        <v>140</v>
      </c>
      <c r="I31" s="349">
        <v>140</v>
      </c>
      <c r="J31" s="349">
        <v>140</v>
      </c>
      <c r="K31" s="349">
        <v>140</v>
      </c>
      <c r="L31" s="349">
        <v>140</v>
      </c>
      <c r="M31" s="349">
        <v>140</v>
      </c>
      <c r="N31" s="349">
        <v>140</v>
      </c>
      <c r="O31" s="360">
        <v>140</v>
      </c>
      <c r="P31" s="180"/>
      <c r="Q31" s="709"/>
      <c r="R31" s="406"/>
      <c r="S31" s="409"/>
      <c r="T31" s="407"/>
      <c r="U31" s="413"/>
      <c r="V31" s="495"/>
      <c r="W31" s="549"/>
      <c r="X31" s="550"/>
      <c r="Y31" s="577" t="s">
        <v>30</v>
      </c>
      <c r="Z31" s="204">
        <f xml:space="preserve"> 2*(Z19+Z20)</f>
        <v>1120</v>
      </c>
      <c r="AA31" s="205">
        <f t="shared" ref="AA31:AG31" si="34" xml:space="preserve"> 2*(AA19+AA20)</f>
        <v>960</v>
      </c>
      <c r="AB31" s="205">
        <f t="shared" si="34"/>
        <v>800</v>
      </c>
      <c r="AC31" s="205">
        <f t="shared" si="34"/>
        <v>720</v>
      </c>
      <c r="AD31" s="205">
        <f t="shared" si="34"/>
        <v>640</v>
      </c>
      <c r="AE31" s="205">
        <f t="shared" si="34"/>
        <v>560</v>
      </c>
      <c r="AF31" s="205">
        <f t="shared" si="34"/>
        <v>560</v>
      </c>
      <c r="AG31" s="206">
        <f t="shared" si="34"/>
        <v>560</v>
      </c>
      <c r="AH31" s="284"/>
      <c r="AI31" s="398" t="s">
        <v>192</v>
      </c>
      <c r="AJ31" s="400"/>
      <c r="AK31" s="369" t="str">
        <f>AA17</f>
        <v>2-A</v>
      </c>
      <c r="AL31" s="401" t="s">
        <v>193</v>
      </c>
      <c r="AM31" s="403">
        <f>AA29</f>
        <v>4</v>
      </c>
      <c r="AN31" s="250"/>
      <c r="AO31" s="250"/>
      <c r="AP31" s="370" t="str">
        <f>AI31</f>
        <v>Section &gt;&gt;</v>
      </c>
      <c r="AQ31" s="374"/>
      <c r="AR31" s="376" t="str">
        <f>AK31</f>
        <v>2-A</v>
      </c>
      <c r="AS31" s="229">
        <f>AA33</f>
        <v>60.48</v>
      </c>
      <c r="AT31" s="249"/>
      <c r="AU31" s="673" t="s">
        <v>148</v>
      </c>
      <c r="AV31" s="664" t="s">
        <v>151</v>
      </c>
      <c r="AW31" s="664" t="s">
        <v>149</v>
      </c>
      <c r="AX31" s="666" t="s">
        <v>150</v>
      </c>
      <c r="AY31" s="569" t="s">
        <v>146</v>
      </c>
      <c r="AZ31" s="686" t="s">
        <v>147</v>
      </c>
      <c r="BA31" s="701" t="s">
        <v>237</v>
      </c>
      <c r="BB31" s="152"/>
      <c r="BC31" s="152"/>
      <c r="BD31" s="152"/>
      <c r="BE31" s="152"/>
      <c r="BF31" s="152"/>
      <c r="BG31" s="152"/>
      <c r="BH31" s="254"/>
      <c r="BI31" s="254"/>
      <c r="BJ31" s="370" t="str">
        <f>AI31</f>
        <v>Section &gt;&gt;</v>
      </c>
      <c r="BK31" s="381"/>
      <c r="BL31" s="384" t="str">
        <f>AR31</f>
        <v>2-A</v>
      </c>
      <c r="BM31" s="229">
        <f>AS31</f>
        <v>60.48</v>
      </c>
      <c r="BN31" s="250"/>
      <c r="BO31" s="656" t="s">
        <v>148</v>
      </c>
      <c r="BP31" s="647" t="s">
        <v>151</v>
      </c>
      <c r="BQ31" s="657" t="s">
        <v>149</v>
      </c>
      <c r="BR31" s="648" t="s">
        <v>150</v>
      </c>
      <c r="BS31" s="556" t="s">
        <v>146</v>
      </c>
      <c r="BT31" s="695" t="s">
        <v>147</v>
      </c>
      <c r="BU31" s="701" t="s">
        <v>239</v>
      </c>
      <c r="BV31" s="478"/>
      <c r="BW31" s="478"/>
      <c r="BX31" s="478"/>
      <c r="BY31" s="478"/>
      <c r="BZ31" s="478"/>
      <c r="CA31" s="478"/>
      <c r="CB31" s="250"/>
      <c r="CC31" s="250"/>
      <c r="CD31" s="543"/>
      <c r="CE31" s="544"/>
      <c r="CF31" s="545" t="str">
        <f>AR31</f>
        <v>2-A</v>
      </c>
      <c r="CG31" s="229">
        <f>AS31</f>
        <v>60.48</v>
      </c>
      <c r="CH31" s="250"/>
      <c r="CI31" s="631" t="s">
        <v>149</v>
      </c>
      <c r="CJ31" s="632" t="s">
        <v>235</v>
      </c>
      <c r="CK31" s="632" t="s">
        <v>236</v>
      </c>
      <c r="CL31" s="633" t="s">
        <v>158</v>
      </c>
      <c r="CM31" s="634" t="s">
        <v>159</v>
      </c>
      <c r="CN31" s="587" t="s">
        <v>204</v>
      </c>
      <c r="CO31" s="588" t="s">
        <v>234</v>
      </c>
      <c r="CP31" s="197"/>
      <c r="CQ31" s="631" t="s">
        <v>149</v>
      </c>
      <c r="CR31" s="632" t="s">
        <v>235</v>
      </c>
      <c r="CS31" s="632" t="s">
        <v>236</v>
      </c>
      <c r="CT31" s="633" t="s">
        <v>158</v>
      </c>
      <c r="CU31" s="634" t="s">
        <v>159</v>
      </c>
      <c r="CV31" s="587" t="s">
        <v>204</v>
      </c>
      <c r="CW31" s="588" t="s">
        <v>234</v>
      </c>
      <c r="CX31" s="608"/>
      <c r="CY31" s="250"/>
    </row>
    <row r="32" spans="1:103" ht="16.05" customHeight="1" thickTop="1">
      <c r="A32" s="250"/>
      <c r="B32" s="723">
        <f t="shared" si="3"/>
        <v>0.50000000000000011</v>
      </c>
      <c r="C32" s="734">
        <f t="shared" si="4"/>
        <v>1.0248394303441715</v>
      </c>
      <c r="D32" s="250"/>
      <c r="E32" s="549"/>
      <c r="F32" s="550"/>
      <c r="G32" s="550" t="s">
        <v>3</v>
      </c>
      <c r="H32" s="351">
        <v>13.5</v>
      </c>
      <c r="I32" s="352">
        <v>13.5</v>
      </c>
      <c r="J32" s="352">
        <v>13.5</v>
      </c>
      <c r="K32" s="352">
        <v>13.5</v>
      </c>
      <c r="L32" s="352">
        <v>13.5</v>
      </c>
      <c r="M32" s="352">
        <v>13.5</v>
      </c>
      <c r="N32" s="352">
        <v>13.5</v>
      </c>
      <c r="O32" s="356">
        <v>13.5</v>
      </c>
      <c r="P32" s="292"/>
      <c r="Q32" s="230">
        <f>Q33+1</f>
        <v>4</v>
      </c>
      <c r="R32" s="340">
        <v>0</v>
      </c>
      <c r="S32" s="362">
        <v>3</v>
      </c>
      <c r="T32" s="340">
        <v>3</v>
      </c>
      <c r="U32" s="413"/>
      <c r="V32" s="495"/>
      <c r="W32" s="549"/>
      <c r="X32" s="550"/>
      <c r="Y32" s="577" t="s">
        <v>27</v>
      </c>
      <c r="Z32" s="204">
        <f xml:space="preserve"> Z31*Z21</f>
        <v>22400</v>
      </c>
      <c r="AA32" s="205">
        <f t="shared" ref="AA32:AG32" si="35" xml:space="preserve"> AA31*AA21</f>
        <v>17280</v>
      </c>
      <c r="AB32" s="205">
        <f t="shared" si="35"/>
        <v>12000</v>
      </c>
      <c r="AC32" s="205">
        <f t="shared" si="35"/>
        <v>9720</v>
      </c>
      <c r="AD32" s="205">
        <f t="shared" si="35"/>
        <v>9600</v>
      </c>
      <c r="AE32" s="205">
        <f t="shared" si="35"/>
        <v>5600</v>
      </c>
      <c r="AF32" s="205">
        <f t="shared" si="35"/>
        <v>5600</v>
      </c>
      <c r="AG32" s="206">
        <f t="shared" si="35"/>
        <v>8400</v>
      </c>
      <c r="AH32" s="275"/>
      <c r="AI32" s="230">
        <f>AI33+1</f>
        <v>4</v>
      </c>
      <c r="AJ32" s="340">
        <v>0</v>
      </c>
      <c r="AK32" s="386" t="str">
        <f xml:space="preserve"> IF(AJ32&lt;=0, "XX", Z$29+AJ32)</f>
        <v>XX</v>
      </c>
      <c r="AL32" s="26" t="str">
        <f>IF(AK32="XX", "XX", $Z$11 + Z$34  + AJ32*AA$21)</f>
        <v>XX</v>
      </c>
      <c r="AM32" s="402" t="str">
        <f t="shared" si="5"/>
        <v>XX</v>
      </c>
      <c r="AN32" s="250"/>
      <c r="AO32" s="250"/>
      <c r="AP32" s="219">
        <f t="shared" ref="AP32:AP34" si="36">AI32</f>
        <v>4</v>
      </c>
      <c r="AQ32" s="239" t="str">
        <f t="shared" ref="AQ32:AQ34" si="37">AK32</f>
        <v>XX</v>
      </c>
      <c r="AR32" s="371" t="str">
        <f>'SMMR-Calcs'!AH57</f>
        <v>XX</v>
      </c>
      <c r="AS32" s="240"/>
      <c r="AT32" s="248"/>
      <c r="AU32" s="644" t="str">
        <f>'SMMR-Calcs'!J57</f>
        <v>XX</v>
      </c>
      <c r="AV32" s="616" t="str">
        <f>'SMMR-Calcs'!K57</f>
        <v>XX</v>
      </c>
      <c r="AW32" s="616" t="str">
        <f>'SMMR-Calcs'!L57</f>
        <v>XX</v>
      </c>
      <c r="AX32" s="645" t="str">
        <f>'SMMR-Calcs'!R57</f>
        <v>XX</v>
      </c>
      <c r="AY32" s="215" t="str">
        <f>'SMMR-Calcs'!AO57</f>
        <v>XX</v>
      </c>
      <c r="AZ32" s="682" t="str">
        <f>'SMMR-Calcs'!AP57</f>
        <v>XX</v>
      </c>
      <c r="BA32" s="699" t="str">
        <f t="shared" ref="BA32:BA34" si="38">IF(AK32="XX", "XX", AY32*1.08*$AF$10/12000)</f>
        <v>XX</v>
      </c>
      <c r="BB32" s="600"/>
      <c r="BC32" s="600"/>
      <c r="BD32" s="600"/>
      <c r="BE32" s="600"/>
      <c r="BF32" s="600"/>
      <c r="BG32" s="600"/>
      <c r="BH32" s="254"/>
      <c r="BI32" s="254"/>
      <c r="BJ32" s="219">
        <f t="shared" ref="BJ32:BL34" si="39">AP32</f>
        <v>4</v>
      </c>
      <c r="BK32" s="25" t="str">
        <f t="shared" si="39"/>
        <v>XX</v>
      </c>
      <c r="BL32" s="382" t="str">
        <f t="shared" si="39"/>
        <v>XX</v>
      </c>
      <c r="BM32" s="240"/>
      <c r="BN32" s="250"/>
      <c r="BO32" s="649" t="str">
        <f>'WNTR-Calcs'!J57</f>
        <v>XX</v>
      </c>
      <c r="BP32" s="650" t="str">
        <f>'WNTR-Calcs'!K57</f>
        <v>XX</v>
      </c>
      <c r="BQ32" s="658" t="str">
        <f>'WNTR-Calcs'!L57</f>
        <v>XX</v>
      </c>
      <c r="BR32" s="645" t="str">
        <f>'WNTR-Calcs'!R57</f>
        <v>XX</v>
      </c>
      <c r="BS32" s="215" t="str">
        <f>'WNTR-Calcs'!AO57</f>
        <v>XX</v>
      </c>
      <c r="BT32" s="694" t="str">
        <f>'WNTR-Calcs'!AP57</f>
        <v>XX</v>
      </c>
      <c r="BU32" s="699" t="str">
        <f>IF(BK32="XX", "XX", BS32*1.08*$AG$10/1000)</f>
        <v>XX</v>
      </c>
      <c r="BV32" s="602"/>
      <c r="BW32" s="602"/>
      <c r="BX32" s="602"/>
      <c r="BY32" s="602"/>
      <c r="BZ32" s="602"/>
      <c r="CA32" s="602"/>
      <c r="CB32" s="250"/>
      <c r="CC32" s="250"/>
      <c r="CD32" s="219">
        <f t="shared" ref="CD32:CF34" si="40">AP32</f>
        <v>4</v>
      </c>
      <c r="CE32" s="551" t="str">
        <f t="shared" si="40"/>
        <v>XX</v>
      </c>
      <c r="CF32" s="551" t="str">
        <f t="shared" si="40"/>
        <v>XX</v>
      </c>
      <c r="CG32" s="562"/>
      <c r="CH32" s="250"/>
      <c r="CI32" s="615" t="str">
        <f>'SMMR-Calcs'!L57</f>
        <v>XX</v>
      </c>
      <c r="CJ32" s="616" t="str">
        <f>'SMMR-Calcs'!Q57</f>
        <v>XX</v>
      </c>
      <c r="CK32" s="616" t="str">
        <f>'SMMR-Calcs'!S57</f>
        <v>XX</v>
      </c>
      <c r="CL32" s="617" t="str">
        <f>IF(AK32="XX", "XX", AY32)</f>
        <v>XX</v>
      </c>
      <c r="CM32" s="618" t="str">
        <f>IF(AK32="XX",  "XX", CL32*60/CJ32)</f>
        <v>XX</v>
      </c>
      <c r="CN32" s="585" t="str">
        <f>'SMMR-Calcs'!AQ57</f>
        <v>XX</v>
      </c>
      <c r="CO32" s="586" t="str">
        <f>'SMMR-Calcs'!AR57</f>
        <v>XX</v>
      </c>
      <c r="CP32" s="197"/>
      <c r="CQ32" s="615" t="str">
        <f>'WNTR-Calcs'!L57</f>
        <v>XX</v>
      </c>
      <c r="CR32" s="616" t="str">
        <f>'WNTR-Calcs'!Q57</f>
        <v>XX</v>
      </c>
      <c r="CS32" s="616" t="str">
        <f>'WNTR-Calcs'!S57</f>
        <v>XX</v>
      </c>
      <c r="CT32" s="617" t="str">
        <f>IF(AR32="XX", "XX", BS32)</f>
        <v>XX</v>
      </c>
      <c r="CU32" s="618" t="str">
        <f>IF(AR32="XX",  "XX", CT32*60/CR32)</f>
        <v>XX</v>
      </c>
      <c r="CV32" s="585" t="str">
        <f>'WNTR-Calcs'!AQ57</f>
        <v>XX</v>
      </c>
      <c r="CW32" s="586" t="str">
        <f>'WNTR-Calcs'!AR57</f>
        <v>XX</v>
      </c>
      <c r="CX32" s="609"/>
      <c r="CY32" s="250"/>
    </row>
    <row r="33" spans="1:103" ht="16.05" customHeight="1">
      <c r="A33" s="250"/>
      <c r="B33" s="723">
        <f t="shared" si="3"/>
        <v>0.52000000000000013</v>
      </c>
      <c r="C33" s="734">
        <f t="shared" si="4"/>
        <v>1.0658330075579385</v>
      </c>
      <c r="D33" s="250"/>
      <c r="E33" s="549"/>
      <c r="F33" s="550"/>
      <c r="G33" s="550" t="s">
        <v>29</v>
      </c>
      <c r="H33" s="310">
        <v>2</v>
      </c>
      <c r="I33" s="286">
        <v>3</v>
      </c>
      <c r="J33" s="286">
        <v>6</v>
      </c>
      <c r="K33" s="286">
        <v>40</v>
      </c>
      <c r="L33" s="286">
        <v>5</v>
      </c>
      <c r="M33" s="286">
        <v>25</v>
      </c>
      <c r="N33" s="286">
        <v>15</v>
      </c>
      <c r="O33" s="311">
        <v>2</v>
      </c>
      <c r="P33" s="288"/>
      <c r="Q33" s="230">
        <f>Q34+1</f>
        <v>3</v>
      </c>
      <c r="R33" s="342">
        <v>2</v>
      </c>
      <c r="S33" s="364">
        <v>2</v>
      </c>
      <c r="T33" s="342">
        <v>2</v>
      </c>
      <c r="U33" s="413"/>
      <c r="V33" s="495"/>
      <c r="W33" s="549"/>
      <c r="X33" s="550"/>
      <c r="Y33" s="577" t="s">
        <v>98</v>
      </c>
      <c r="Z33" s="212">
        <f xml:space="preserve"> Z24/100 * Z32</f>
        <v>89.600000000000009</v>
      </c>
      <c r="AA33" s="213">
        <f t="shared" ref="AA33:AG33" si="41" xml:space="preserve"> AA24/100 * AA32</f>
        <v>60.48</v>
      </c>
      <c r="AB33" s="213">
        <f t="shared" si="41"/>
        <v>36</v>
      </c>
      <c r="AC33" s="213">
        <f t="shared" si="41"/>
        <v>24.3</v>
      </c>
      <c r="AD33" s="213">
        <f t="shared" si="41"/>
        <v>28.8</v>
      </c>
      <c r="AE33" s="213">
        <f t="shared" si="41"/>
        <v>19.599999999999998</v>
      </c>
      <c r="AF33" s="213">
        <f t="shared" si="41"/>
        <v>22.400000000000002</v>
      </c>
      <c r="AG33" s="214">
        <f t="shared" si="41"/>
        <v>25.2</v>
      </c>
      <c r="AH33" s="284"/>
      <c r="AI33" s="230">
        <f>AI34+1</f>
        <v>3</v>
      </c>
      <c r="AJ33" s="342">
        <v>2</v>
      </c>
      <c r="AK33" s="388">
        <f xml:space="preserve"> IF(AJ33&lt;=0, "XX", Z$29+AJ33)</f>
        <v>4</v>
      </c>
      <c r="AL33" s="26">
        <f>IF(AK33="XX", "XX", $Z$11 + Z$34  + AJ33*AA$21)</f>
        <v>576</v>
      </c>
      <c r="AM33" s="392">
        <f t="shared" si="5"/>
        <v>175.56480000000002</v>
      </c>
      <c r="AN33" s="250"/>
      <c r="AO33" s="250"/>
      <c r="AP33" s="219">
        <f t="shared" si="36"/>
        <v>3</v>
      </c>
      <c r="AQ33" s="239">
        <f t="shared" si="37"/>
        <v>4</v>
      </c>
      <c r="AR33" s="239">
        <f>'SMMR-Calcs'!AH58</f>
        <v>76</v>
      </c>
      <c r="AS33" s="243"/>
      <c r="AT33" s="248"/>
      <c r="AU33" s="644">
        <f>'SMMR-Calcs'!J58</f>
        <v>14.392634596582797</v>
      </c>
      <c r="AV33" s="616">
        <f>'SMMR-Calcs'!K58</f>
        <v>5.2902979373567609</v>
      </c>
      <c r="AW33" s="616">
        <f>'SMMR-Calcs'!L58</f>
        <v>94.729439999999997</v>
      </c>
      <c r="AX33" s="645">
        <f>'SMMR-Calcs'!R58</f>
        <v>6.8680456170067516E-2</v>
      </c>
      <c r="AY33" s="215">
        <f>'SMMR-Calcs'!AO58</f>
        <v>-2323.8643855797668</v>
      </c>
      <c r="AZ33" s="682">
        <f>'SMMR-Calcs'!AP58</f>
        <v>-0.27665052209282937</v>
      </c>
      <c r="BA33" s="699">
        <f t="shared" si="38"/>
        <v>-560.51608980183983</v>
      </c>
      <c r="BB33" s="600"/>
      <c r="BC33" s="600"/>
      <c r="BD33" s="600"/>
      <c r="BE33" s="600"/>
      <c r="BF33" s="600"/>
      <c r="BG33" s="600"/>
      <c r="BH33" s="254"/>
      <c r="BI33" s="254"/>
      <c r="BJ33" s="219">
        <f t="shared" si="39"/>
        <v>3</v>
      </c>
      <c r="BK33" s="25">
        <f t="shared" si="39"/>
        <v>4</v>
      </c>
      <c r="BL33" s="260">
        <f t="shared" si="39"/>
        <v>76</v>
      </c>
      <c r="BM33" s="243"/>
      <c r="BN33" s="250"/>
      <c r="BO33" s="649" t="str">
        <f>'WNTR-Calcs'!J57</f>
        <v>XX</v>
      </c>
      <c r="BP33" s="650" t="str">
        <f>'WNTR-Calcs'!K57</f>
        <v>XX</v>
      </c>
      <c r="BQ33" s="658" t="str">
        <f>'WNTR-Calcs'!L57</f>
        <v>XX</v>
      </c>
      <c r="BR33" s="645" t="str">
        <f>'WNTR-Calcs'!R57</f>
        <v>XX</v>
      </c>
      <c r="BS33" s="215">
        <f>'WNTR-Calcs'!AO58</f>
        <v>2683.7351933335049</v>
      </c>
      <c r="BT33" s="694">
        <f>'WNTR-Calcs'!AP58</f>
        <v>0.31949228492065535</v>
      </c>
      <c r="BU33" s="699">
        <f>IF(BK33="XX", "XX", BS33*1.08*$AG$10/1000)</f>
        <v>23132.401824234279</v>
      </c>
      <c r="BV33" s="602"/>
      <c r="BW33" s="602"/>
      <c r="BX33" s="602"/>
      <c r="BY33" s="602"/>
      <c r="BZ33" s="602"/>
      <c r="CA33" s="602"/>
      <c r="CB33" s="250"/>
      <c r="CC33" s="250"/>
      <c r="CD33" s="219">
        <f t="shared" si="40"/>
        <v>3</v>
      </c>
      <c r="CE33" s="551">
        <f t="shared" si="40"/>
        <v>4</v>
      </c>
      <c r="CF33" s="551">
        <f t="shared" si="40"/>
        <v>76</v>
      </c>
      <c r="CG33" s="552"/>
      <c r="CH33" s="250"/>
      <c r="CI33" s="615">
        <f>'SMMR-Calcs'!L58</f>
        <v>94.729439999999997</v>
      </c>
      <c r="CJ33" s="616">
        <f>'SMMR-Calcs'!Q58</f>
        <v>14.560182849161425</v>
      </c>
      <c r="CK33" s="616">
        <f>'SMMR-Calcs'!S58</f>
        <v>38.524401084408183</v>
      </c>
      <c r="CL33" s="617">
        <f>IF(AK33="XX", "XX", AY33)</f>
        <v>-2323.8643855797668</v>
      </c>
      <c r="CM33" s="618">
        <f>IF(AK33="XX",  "XX", CL33*60/CJ33)</f>
        <v>-9576.243964739524</v>
      </c>
      <c r="CN33" s="585">
        <f>'SMMR-Calcs'!AQ58</f>
        <v>-49516.426400507502</v>
      </c>
      <c r="CO33" s="586">
        <f>'SMMR-Calcs'!AR58</f>
        <v>-7529.3206092784449</v>
      </c>
      <c r="CP33" s="197"/>
      <c r="CQ33" s="615">
        <f>'WNTR-Calcs'!L58</f>
        <v>-16.27056</v>
      </c>
      <c r="CR33" s="616">
        <f>'WNTR-Calcs'!Q58</f>
        <v>11.39106181002575</v>
      </c>
      <c r="CS33" s="616">
        <f>'WNTR-Calcs'!S58</f>
        <v>-3.4507924968026931</v>
      </c>
      <c r="CT33" s="617">
        <f>IF(AR33="XX", "XX", BS33)</f>
        <v>2683.7351933335049</v>
      </c>
      <c r="CU33" s="618">
        <f>IF(AR33="XX",  "XX", CT33*60/CR33)</f>
        <v>14136.005430001815</v>
      </c>
      <c r="CV33" s="585">
        <f>'WNTR-Calcs'!AQ58</f>
        <v>-255846.39307983732</v>
      </c>
      <c r="CW33" s="586">
        <f>'WNTR-Calcs'!AR58</f>
        <v>8695.3020264005572</v>
      </c>
      <c r="CX33" s="609"/>
      <c r="CY33" s="250"/>
    </row>
    <row r="34" spans="1:103" ht="16.05" customHeight="1" thickBot="1">
      <c r="A34" s="250"/>
      <c r="B34" s="723">
        <f t="shared" si="3"/>
        <v>0.54000000000000015</v>
      </c>
      <c r="C34" s="734">
        <f t="shared" si="4"/>
        <v>1.1068265847717054</v>
      </c>
      <c r="D34" s="250"/>
      <c r="E34" s="549"/>
      <c r="F34" s="550"/>
      <c r="G34" s="550" t="s">
        <v>144</v>
      </c>
      <c r="H34" s="353" t="s">
        <v>91</v>
      </c>
      <c r="I34" s="354" t="s">
        <v>91</v>
      </c>
      <c r="J34" s="354" t="s">
        <v>91</v>
      </c>
      <c r="K34" s="354" t="s">
        <v>91</v>
      </c>
      <c r="L34" s="354" t="s">
        <v>91</v>
      </c>
      <c r="M34" s="354" t="s">
        <v>91</v>
      </c>
      <c r="N34" s="354" t="s">
        <v>91</v>
      </c>
      <c r="O34" s="361" t="s">
        <v>91</v>
      </c>
      <c r="P34" s="293"/>
      <c r="Q34" s="231">
        <f>Q37+1</f>
        <v>2</v>
      </c>
      <c r="R34" s="341">
        <v>1</v>
      </c>
      <c r="S34" s="363">
        <v>1</v>
      </c>
      <c r="T34" s="341">
        <v>1</v>
      </c>
      <c r="U34" s="414"/>
      <c r="V34" s="495"/>
      <c r="W34" s="578"/>
      <c r="X34" s="553"/>
      <c r="Y34" s="577" t="s">
        <v>89</v>
      </c>
      <c r="Z34" s="204">
        <f xml:space="preserve"> Z21*Z22 + 20* (IF(Z23="Y",1,0))</f>
        <v>40</v>
      </c>
      <c r="AA34" s="205">
        <f t="shared" ref="AA34:AG34" si="42" xml:space="preserve"> AA21*AA22 + 20* (IF(AA23="Y",1,0))</f>
        <v>74</v>
      </c>
      <c r="AB34" s="205">
        <f t="shared" si="42"/>
        <v>90</v>
      </c>
      <c r="AC34" s="205">
        <f t="shared" si="42"/>
        <v>560</v>
      </c>
      <c r="AD34" s="205">
        <f t="shared" si="42"/>
        <v>75</v>
      </c>
      <c r="AE34" s="205">
        <f t="shared" si="42"/>
        <v>250</v>
      </c>
      <c r="AF34" s="205">
        <f t="shared" si="42"/>
        <v>170</v>
      </c>
      <c r="AG34" s="206">
        <f t="shared" si="42"/>
        <v>50</v>
      </c>
      <c r="AH34" s="285"/>
      <c r="AI34" s="231">
        <f>AI37+1</f>
        <v>2</v>
      </c>
      <c r="AJ34" s="341">
        <v>1</v>
      </c>
      <c r="AK34" s="387">
        <f xml:space="preserve"> IF(AJ34&lt;=0, "XX", Z$29+AJ34)</f>
        <v>3</v>
      </c>
      <c r="AL34" s="393">
        <f>IF(AK34="XX", "XX", $Z$11 + Z$34  + AJ34*AA$21)</f>
        <v>558</v>
      </c>
      <c r="AM34" s="394">
        <f t="shared" si="5"/>
        <v>170.07840000000002</v>
      </c>
      <c r="AN34" s="250"/>
      <c r="AO34" s="250"/>
      <c r="AP34" s="220">
        <f t="shared" si="36"/>
        <v>2</v>
      </c>
      <c r="AQ34" s="239">
        <f t="shared" si="37"/>
        <v>3</v>
      </c>
      <c r="AR34" s="241">
        <f>'SMMR-Calcs'!AH59</f>
        <v>58</v>
      </c>
      <c r="AS34" s="242"/>
      <c r="AT34" s="248"/>
      <c r="AU34" s="675">
        <f>'SMMR-Calcs'!J59</f>
        <v>14.402035612988977</v>
      </c>
      <c r="AV34" s="628">
        <f>'SMMR-Calcs'!K59</f>
        <v>5.2215431627196329</v>
      </c>
      <c r="AW34" s="628">
        <f>'SMMR-Calcs'!L59</f>
        <v>94.793520000000001</v>
      </c>
      <c r="AX34" s="662">
        <f>'SMMR-Calcs'!R59</f>
        <v>6.8714266589730996E-2</v>
      </c>
      <c r="AY34" s="217">
        <f>'SMMR-Calcs'!AO59</f>
        <v>-2357.3029392716749</v>
      </c>
      <c r="AZ34" s="685">
        <f>'SMMR-Calcs'!AP59</f>
        <v>-0.28063130229424699</v>
      </c>
      <c r="BA34" s="703">
        <f t="shared" si="38"/>
        <v>-568.58146895232801</v>
      </c>
      <c r="BB34" s="600"/>
      <c r="BC34" s="600"/>
      <c r="BD34" s="600"/>
      <c r="BE34" s="600"/>
      <c r="BF34" s="600"/>
      <c r="BG34" s="600"/>
      <c r="BH34" s="254"/>
      <c r="BI34" s="254"/>
      <c r="BJ34" s="219">
        <f t="shared" si="39"/>
        <v>2</v>
      </c>
      <c r="BK34" s="266">
        <f t="shared" si="39"/>
        <v>3</v>
      </c>
      <c r="BL34" s="267">
        <f t="shared" si="39"/>
        <v>58</v>
      </c>
      <c r="BM34" s="242"/>
      <c r="BN34" s="250"/>
      <c r="BO34" s="659">
        <f>'WNTR-Calcs'!J58</f>
        <v>14.392634596582797</v>
      </c>
      <c r="BP34" s="660">
        <f>'WNTR-Calcs'!K58</f>
        <v>15.290297937356762</v>
      </c>
      <c r="BQ34" s="661">
        <f>'WNTR-Calcs'!L58</f>
        <v>-16.27056</v>
      </c>
      <c r="BR34" s="662">
        <f>'WNTR-Calcs'!R58</f>
        <v>8.7788128681722907E-2</v>
      </c>
      <c r="BS34" s="215">
        <f>'WNTR-Calcs'!AO59</f>
        <v>2725.933677392431</v>
      </c>
      <c r="BT34" s="694">
        <f>'WNTR-Calcs'!AP59</f>
        <v>0.32451591397528939</v>
      </c>
      <c r="BU34" s="703">
        <f>IF(BK34="XX", "XX", BS34*1.08*$AG$10/1000)</f>
        <v>23496.130813610518</v>
      </c>
      <c r="BV34" s="602"/>
      <c r="BW34" s="602"/>
      <c r="BX34" s="602"/>
      <c r="BY34" s="602"/>
      <c r="BZ34" s="602"/>
      <c r="CA34" s="602"/>
      <c r="CB34" s="250"/>
      <c r="CC34" s="250"/>
      <c r="CD34" s="221">
        <f t="shared" si="40"/>
        <v>2</v>
      </c>
      <c r="CE34" s="566">
        <f t="shared" si="40"/>
        <v>3</v>
      </c>
      <c r="CF34" s="566">
        <f t="shared" si="40"/>
        <v>58</v>
      </c>
      <c r="CG34" s="567"/>
      <c r="CH34" s="250"/>
      <c r="CI34" s="619">
        <f>'SMMR-Calcs'!L59</f>
        <v>94.793520000000001</v>
      </c>
      <c r="CJ34" s="628">
        <f>'SMMR-Calcs'!Q59</f>
        <v>14.553018603409573</v>
      </c>
      <c r="CK34" s="628">
        <f>'SMMR-Calcs'!S59</f>
        <v>38.571936091143009</v>
      </c>
      <c r="CL34" s="621">
        <f>IF(AK34="XX", "XX", AY34)</f>
        <v>-2357.3029392716749</v>
      </c>
      <c r="CM34" s="622">
        <f>IF(AK34="XX",  "XX", CL34*60/CJ34)</f>
        <v>-9718.8205561122177</v>
      </c>
      <c r="CN34" s="585">
        <f>'SMMR-Calcs'!AQ59</f>
        <v>-50392.068704495301</v>
      </c>
      <c r="CO34" s="586">
        <f>'SMMR-Calcs'!AR59</f>
        <v>-7637.6615232402273</v>
      </c>
      <c r="CP34" s="197"/>
      <c r="CQ34" s="615">
        <f>'WNTR-Calcs'!L59</f>
        <v>-16.206479999999999</v>
      </c>
      <c r="CR34" s="616">
        <f>'WNTR-Calcs'!Q59</f>
        <v>11.385291828613051</v>
      </c>
      <c r="CS34" s="616">
        <f>'WNTR-Calcs'!S59</f>
        <v>-3.4342168730253495</v>
      </c>
      <c r="CT34" s="617">
        <f>IF(AR34="XX", "XX", BS34)</f>
        <v>2725.933677392431</v>
      </c>
      <c r="CU34" s="618">
        <f>IF(AR34="XX",  "XX", CT34*60/CR34)</f>
        <v>14365.553655155642</v>
      </c>
      <c r="CV34" s="585">
        <f>'WNTR-Calcs'!AQ59</f>
        <v>-259680.6155479413</v>
      </c>
      <c r="CW34" s="586">
        <f>'WNTR-Calcs'!AR59</f>
        <v>8832.0251147514791</v>
      </c>
      <c r="CX34" s="609"/>
      <c r="CY34" s="250"/>
    </row>
    <row r="35" spans="1:103" ht="16.05" customHeight="1" thickTop="1" thickBot="1">
      <c r="A35" s="250"/>
      <c r="B35" s="723">
        <f t="shared" si="3"/>
        <v>0.56000000000000016</v>
      </c>
      <c r="C35" s="734">
        <f t="shared" si="4"/>
        <v>1.1478201619854722</v>
      </c>
      <c r="D35" s="250"/>
      <c r="E35" s="549"/>
      <c r="F35" s="550"/>
      <c r="G35" s="550" t="s">
        <v>23</v>
      </c>
      <c r="H35" s="351">
        <v>0.4</v>
      </c>
      <c r="I35" s="352">
        <v>0.4</v>
      </c>
      <c r="J35" s="352">
        <v>0.4</v>
      </c>
      <c r="K35" s="352">
        <v>0.4</v>
      </c>
      <c r="L35" s="352">
        <v>0.4</v>
      </c>
      <c r="M35" s="352">
        <v>0.4</v>
      </c>
      <c r="N35" s="352">
        <v>0.4</v>
      </c>
      <c r="O35" s="356">
        <v>0.4</v>
      </c>
      <c r="P35" s="292"/>
      <c r="Q35" s="709"/>
      <c r="R35" s="406"/>
      <c r="S35" s="409"/>
      <c r="T35" s="407"/>
      <c r="U35" s="413"/>
      <c r="V35" s="495"/>
      <c r="W35" s="549"/>
      <c r="X35" s="550"/>
      <c r="Y35" s="577" t="s">
        <v>26</v>
      </c>
      <c r="Z35" s="207">
        <f xml:space="preserve"> Z30 * (Z22 + IF(Z23="Y", 1,0))</f>
        <v>153600</v>
      </c>
      <c r="AA35" s="113">
        <f t="shared" ref="AA35:AG35" si="43" xml:space="preserve"> AA30 * (AA22 + IF(AA23="Y", 1,0))</f>
        <v>224000</v>
      </c>
      <c r="AB35" s="113">
        <f t="shared" si="43"/>
        <v>230400</v>
      </c>
      <c r="AC35" s="113">
        <f t="shared" si="43"/>
        <v>1262800</v>
      </c>
      <c r="AD35" s="113">
        <f t="shared" si="43"/>
        <v>120000</v>
      </c>
      <c r="AE35" s="113">
        <f t="shared" si="43"/>
        <v>450000</v>
      </c>
      <c r="AF35" s="113">
        <f t="shared" si="43"/>
        <v>288000</v>
      </c>
      <c r="AG35" s="208">
        <f t="shared" si="43"/>
        <v>54000</v>
      </c>
      <c r="AH35" s="284"/>
      <c r="AI35" s="398" t="s">
        <v>192</v>
      </c>
      <c r="AJ35" s="400"/>
      <c r="AK35" s="369">
        <f>Z17</f>
        <v>1</v>
      </c>
      <c r="AL35" s="401" t="s">
        <v>193</v>
      </c>
      <c r="AM35" s="403">
        <f>Z29</f>
        <v>2</v>
      </c>
      <c r="AN35" s="250"/>
      <c r="AO35" s="250"/>
      <c r="AP35" s="370" t="str">
        <f>AI35</f>
        <v>Section &gt;&gt;</v>
      </c>
      <c r="AQ35" s="238"/>
      <c r="AR35" s="376">
        <f>AK35</f>
        <v>1</v>
      </c>
      <c r="AS35" s="229">
        <f>Z33</f>
        <v>89.600000000000009</v>
      </c>
      <c r="AT35" s="249"/>
      <c r="AU35" s="673" t="s">
        <v>148</v>
      </c>
      <c r="AV35" s="664" t="s">
        <v>151</v>
      </c>
      <c r="AW35" s="664" t="s">
        <v>149</v>
      </c>
      <c r="AX35" s="666" t="s">
        <v>150</v>
      </c>
      <c r="AY35" s="579" t="s">
        <v>146</v>
      </c>
      <c r="AZ35" s="688" t="s">
        <v>147</v>
      </c>
      <c r="BA35" s="701" t="s">
        <v>237</v>
      </c>
      <c r="BB35" s="600"/>
      <c r="BC35" s="600"/>
      <c r="BD35" s="600"/>
      <c r="BE35" s="600"/>
      <c r="BF35" s="600"/>
      <c r="BG35" s="600"/>
      <c r="BH35" s="254"/>
      <c r="BI35" s="254"/>
      <c r="BJ35" s="370" t="str">
        <f>AI35</f>
        <v>Section &gt;&gt;</v>
      </c>
      <c r="BK35" s="259"/>
      <c r="BL35" s="384">
        <f>AR35</f>
        <v>1</v>
      </c>
      <c r="BM35" s="229">
        <f>AS35</f>
        <v>89.600000000000009</v>
      </c>
      <c r="BN35" s="250"/>
      <c r="BO35" s="663" t="s">
        <v>148</v>
      </c>
      <c r="BP35" s="664" t="s">
        <v>151</v>
      </c>
      <c r="BQ35" s="665" t="s">
        <v>149</v>
      </c>
      <c r="BR35" s="666" t="s">
        <v>150</v>
      </c>
      <c r="BS35" s="579" t="s">
        <v>146</v>
      </c>
      <c r="BT35" s="697" t="s">
        <v>147</v>
      </c>
      <c r="BU35" s="701" t="s">
        <v>239</v>
      </c>
      <c r="BV35" s="602"/>
      <c r="BW35" s="602"/>
      <c r="BX35" s="602"/>
      <c r="BY35" s="602"/>
      <c r="BZ35" s="602"/>
      <c r="CA35" s="602"/>
      <c r="CB35" s="250"/>
      <c r="CC35" s="250"/>
      <c r="CD35" s="543"/>
      <c r="CE35" s="544"/>
      <c r="CF35" s="545">
        <f>AR35</f>
        <v>1</v>
      </c>
      <c r="CG35" s="229">
        <f>AS35</f>
        <v>89.600000000000009</v>
      </c>
      <c r="CH35" s="250"/>
      <c r="CI35" s="623" t="s">
        <v>149</v>
      </c>
      <c r="CJ35" s="632" t="s">
        <v>235</v>
      </c>
      <c r="CK35" s="632" t="s">
        <v>236</v>
      </c>
      <c r="CL35" s="625" t="s">
        <v>158</v>
      </c>
      <c r="CM35" s="626" t="s">
        <v>159</v>
      </c>
      <c r="CN35" s="587" t="s">
        <v>204</v>
      </c>
      <c r="CO35" s="588" t="s">
        <v>234</v>
      </c>
      <c r="CP35" s="197"/>
      <c r="CQ35" s="623" t="s">
        <v>149</v>
      </c>
      <c r="CR35" s="632" t="s">
        <v>235</v>
      </c>
      <c r="CS35" s="632" t="s">
        <v>236</v>
      </c>
      <c r="CT35" s="625" t="s">
        <v>158</v>
      </c>
      <c r="CU35" s="626" t="s">
        <v>159</v>
      </c>
      <c r="CV35" s="587" t="s">
        <v>204</v>
      </c>
      <c r="CW35" s="588" t="s">
        <v>234</v>
      </c>
      <c r="CX35" s="608"/>
      <c r="CY35" s="250"/>
    </row>
    <row r="36" spans="1:103" ht="16.05" customHeight="1" thickTop="1">
      <c r="A36" s="250"/>
      <c r="B36" s="723">
        <f t="shared" si="3"/>
        <v>0.58000000000000018</v>
      </c>
      <c r="C36" s="734">
        <f t="shared" si="4"/>
        <v>1.1888137391992391</v>
      </c>
      <c r="D36" s="250"/>
      <c r="E36" s="549"/>
      <c r="F36" s="550"/>
      <c r="G36" s="550" t="s">
        <v>24</v>
      </c>
      <c r="H36" s="351">
        <v>0.6</v>
      </c>
      <c r="I36" s="352">
        <v>0.6</v>
      </c>
      <c r="J36" s="352">
        <v>0.6</v>
      </c>
      <c r="K36" s="352">
        <v>0.6</v>
      </c>
      <c r="L36" s="352">
        <v>0.6</v>
      </c>
      <c r="M36" s="352">
        <v>0.6</v>
      </c>
      <c r="N36" s="352">
        <v>0.6</v>
      </c>
      <c r="O36" s="356">
        <v>0.6</v>
      </c>
      <c r="P36" s="292"/>
      <c r="Q36" s="230">
        <f>Q37+1</f>
        <v>2</v>
      </c>
      <c r="R36" s="340">
        <v>2</v>
      </c>
      <c r="S36" s="362">
        <v>2</v>
      </c>
      <c r="T36" s="340">
        <v>2</v>
      </c>
      <c r="U36" s="413"/>
      <c r="V36" s="495"/>
      <c r="W36" s="549"/>
      <c r="X36" s="550"/>
      <c r="Y36" s="577" t="s">
        <v>28</v>
      </c>
      <c r="Z36" s="204">
        <f xml:space="preserve"> Z32 * (Z22 + IF(Z23="Y", 1,0))</f>
        <v>44800</v>
      </c>
      <c r="AA36" s="205">
        <f t="shared" ref="AA36:AG36" si="44" xml:space="preserve"> AA32 * (AA22 + IF(AA23="Y", 1,0))</f>
        <v>69120</v>
      </c>
      <c r="AB36" s="205">
        <f t="shared" si="44"/>
        <v>72000</v>
      </c>
      <c r="AC36" s="113">
        <f t="shared" si="44"/>
        <v>398520</v>
      </c>
      <c r="AD36" s="205">
        <f t="shared" si="44"/>
        <v>48000</v>
      </c>
      <c r="AE36" s="113">
        <f t="shared" si="44"/>
        <v>140000</v>
      </c>
      <c r="AF36" s="205">
        <f t="shared" si="44"/>
        <v>89600</v>
      </c>
      <c r="AG36" s="206">
        <f t="shared" si="44"/>
        <v>25200</v>
      </c>
      <c r="AH36" s="425"/>
      <c r="AI36" s="230">
        <f>AI37+1</f>
        <v>2</v>
      </c>
      <c r="AJ36" s="340">
        <v>2</v>
      </c>
      <c r="AK36" s="390">
        <f>IF(AJ36&lt;=0,"XX",AJ36)</f>
        <v>2</v>
      </c>
      <c r="AL36" s="26">
        <f>IF(AK36="XX", "XX", $Z$11 + (AJ36-1)*Z$21)</f>
        <v>520</v>
      </c>
      <c r="AM36" s="402">
        <f t="shared" si="5"/>
        <v>158.49600000000001</v>
      </c>
      <c r="AN36" s="250"/>
      <c r="AO36" s="250"/>
      <c r="AP36" s="219">
        <f t="shared" ref="AP36:AP37" si="45">AI36</f>
        <v>2</v>
      </c>
      <c r="AQ36" s="239">
        <f t="shared" ref="AQ36:AQ37" si="46">AK36</f>
        <v>2</v>
      </c>
      <c r="AR36" s="371">
        <f>'SMMR-Calcs'!AH64</f>
        <v>20</v>
      </c>
      <c r="AS36" s="240"/>
      <c r="AT36" s="248"/>
      <c r="AU36" s="644">
        <f>'SMMR-Calcs'!J64</f>
        <v>14.421898531954078</v>
      </c>
      <c r="AV36" s="616">
        <f>'SMMR-Calcs'!K64</f>
        <v>5.0763941940412529</v>
      </c>
      <c r="AW36" s="616">
        <f>'SMMR-Calcs'!L64</f>
        <v>94.928799999999995</v>
      </c>
      <c r="AX36" s="645">
        <f>'SMMR-Calcs'!R64</f>
        <v>6.8785671192308467E-2</v>
      </c>
      <c r="AY36" s="215">
        <f>'SMMR-Calcs'!AO64</f>
        <v>-3339.6037054678604</v>
      </c>
      <c r="AZ36" s="682">
        <f>'SMMR-Calcs'!AP64</f>
        <v>-0.39757186969855479</v>
      </c>
      <c r="BA36" s="699">
        <f t="shared" ref="BA36:BA37" si="47">IF(AK36="XX", "XX", AY36*1.08*$AF$10/12000)</f>
        <v>-805.51241375884797</v>
      </c>
      <c r="BB36" s="600"/>
      <c r="BC36" s="600"/>
      <c r="BD36" s="600"/>
      <c r="BE36" s="600"/>
      <c r="BF36" s="600"/>
      <c r="BG36" s="600"/>
      <c r="BH36" s="254"/>
      <c r="BI36" s="254"/>
      <c r="BJ36" s="219">
        <f t="shared" ref="BJ36:BL37" si="48">AP36</f>
        <v>2</v>
      </c>
      <c r="BK36" s="25">
        <f t="shared" si="48"/>
        <v>2</v>
      </c>
      <c r="BL36" s="382">
        <f t="shared" si="48"/>
        <v>20</v>
      </c>
      <c r="BM36" s="240"/>
      <c r="BN36" s="250"/>
      <c r="BO36" s="649">
        <f>'WNTR-Calcs'!J64</f>
        <v>14.421898531954078</v>
      </c>
      <c r="BP36" s="650">
        <f>'WNTR-Calcs'!K64</f>
        <v>15.076394194041253</v>
      </c>
      <c r="BQ36" s="658">
        <f>'WNTR-Calcs'!L64</f>
        <v>-16.071200000000001</v>
      </c>
      <c r="BR36" s="645">
        <f>'WNTR-Calcs'!R64</f>
        <v>8.7926598671441078E-2</v>
      </c>
      <c r="BS36" s="215">
        <f>'WNTR-Calcs'!AO64</f>
        <v>7099.1140382831727</v>
      </c>
      <c r="BT36" s="694">
        <f>'WNTR-Calcs'!AP64</f>
        <v>0.84513262360513963</v>
      </c>
      <c r="BU36" s="699">
        <f>IF(BK36="XX", "XX", BS36*1.08*$AG$10/1000)</f>
        <v>61190.671470701047</v>
      </c>
      <c r="BV36" s="602"/>
      <c r="BW36" s="602"/>
      <c r="BX36" s="602"/>
      <c r="BY36" s="602"/>
      <c r="BZ36" s="602"/>
      <c r="CA36" s="602"/>
      <c r="CB36" s="250"/>
      <c r="CC36" s="250"/>
      <c r="CD36" s="219">
        <f t="shared" ref="CD36:CF37" si="49">AP36</f>
        <v>2</v>
      </c>
      <c r="CE36" s="551">
        <f t="shared" si="49"/>
        <v>2</v>
      </c>
      <c r="CF36" s="551">
        <f t="shared" si="49"/>
        <v>20</v>
      </c>
      <c r="CG36" s="562"/>
      <c r="CH36" s="250"/>
      <c r="CI36" s="615">
        <f>'SMMR-Calcs'!L64</f>
        <v>94.928799999999995</v>
      </c>
      <c r="CJ36" s="616">
        <f>'SMMR-Calcs'!Q64</f>
        <v>14.537911496192812</v>
      </c>
      <c r="CK36" s="616">
        <f>'SMMR-Calcs'!S64</f>
        <v>38.672423540378745</v>
      </c>
      <c r="CL36" s="617">
        <f>IF(AK36="XX", "XX", AY36)</f>
        <v>-3339.6037054678604</v>
      </c>
      <c r="CM36" s="618">
        <f>IF(AK36="XX",  "XX", CL36*60/CJ36)</f>
        <v>-13783.012943815633</v>
      </c>
      <c r="CN36" s="585">
        <f>'SMMR-Calcs'!AQ64</f>
        <v>-71878.637871570114</v>
      </c>
      <c r="CO36" s="586">
        <f>'SMMR-Calcs'!AR64</f>
        <v>-10820.316005715868</v>
      </c>
      <c r="CP36" s="197"/>
      <c r="CQ36" s="615">
        <f>'WNTR-Calcs'!L64</f>
        <v>-16.071200000000001</v>
      </c>
      <c r="CR36" s="616">
        <f>'WNTR-Calcs'!Q64</f>
        <v>11.373122753636142</v>
      </c>
      <c r="CS36" s="616">
        <f>'WNTR-Calcs'!S64</f>
        <v>-3.3992149663851552</v>
      </c>
      <c r="CT36" s="617">
        <f>IF(AR36="XX", "XX", BS36)</f>
        <v>7099.1140382831727</v>
      </c>
      <c r="CU36" s="618">
        <f>IF(AR36="XX",  "XX", CT36*60/CR36)</f>
        <v>37452.057058015074</v>
      </c>
      <c r="CV36" s="585">
        <f>'WNTR-Calcs'!AQ64</f>
        <v>-675245.69167152059</v>
      </c>
      <c r="CW36" s="586">
        <f>'WNTR-Calcs'!AR64</f>
        <v>23001.129484037483</v>
      </c>
      <c r="CX36" s="609"/>
      <c r="CY36" s="250"/>
    </row>
    <row r="37" spans="1:103" ht="16.05" customHeight="1" thickBot="1">
      <c r="A37" s="250"/>
      <c r="B37" s="724">
        <f t="shared" si="3"/>
        <v>0.6000000000000002</v>
      </c>
      <c r="C37" s="735">
        <f t="shared" si="4"/>
        <v>1.2298073164130059</v>
      </c>
      <c r="D37" s="250"/>
      <c r="E37" s="560"/>
      <c r="F37" s="568"/>
      <c r="G37" s="568" t="s">
        <v>145</v>
      </c>
      <c r="H37" s="357">
        <v>0</v>
      </c>
      <c r="I37" s="358">
        <v>0</v>
      </c>
      <c r="J37" s="358">
        <v>0</v>
      </c>
      <c r="K37" s="358">
        <v>0</v>
      </c>
      <c r="L37" s="358">
        <v>0</v>
      </c>
      <c r="M37" s="358">
        <v>0</v>
      </c>
      <c r="N37" s="358">
        <v>0</v>
      </c>
      <c r="O37" s="359">
        <v>0</v>
      </c>
      <c r="P37" s="294"/>
      <c r="Q37" s="233">
        <v>1</v>
      </c>
      <c r="R37" s="341">
        <v>1</v>
      </c>
      <c r="S37" s="363">
        <v>1</v>
      </c>
      <c r="T37" s="341">
        <v>1</v>
      </c>
      <c r="U37" s="6"/>
      <c r="V37" s="495"/>
      <c r="W37" s="560"/>
      <c r="X37" s="561"/>
      <c r="Y37" s="580" t="s">
        <v>104</v>
      </c>
      <c r="Z37" s="209">
        <f xml:space="preserve"> Z33 * (Z22 + IF(Z23="Y", 1,0))</f>
        <v>179.20000000000002</v>
      </c>
      <c r="AA37" s="210">
        <f t="shared" ref="AA37:AG37" si="50" xml:space="preserve"> AA33 * (AA22 + IF(AA23="Y", 1,0))</f>
        <v>241.92</v>
      </c>
      <c r="AB37" s="210">
        <f t="shared" si="50"/>
        <v>216</v>
      </c>
      <c r="AC37" s="210">
        <f t="shared" si="50"/>
        <v>996.30000000000007</v>
      </c>
      <c r="AD37" s="210">
        <f t="shared" si="50"/>
        <v>144</v>
      </c>
      <c r="AE37" s="210">
        <f t="shared" si="50"/>
        <v>489.99999999999994</v>
      </c>
      <c r="AF37" s="210">
        <f t="shared" si="50"/>
        <v>358.40000000000003</v>
      </c>
      <c r="AG37" s="211">
        <f t="shared" si="50"/>
        <v>75.599999999999994</v>
      </c>
      <c r="AH37" s="251"/>
      <c r="AI37" s="233">
        <v>1</v>
      </c>
      <c r="AJ37" s="341">
        <v>1</v>
      </c>
      <c r="AK37" s="391">
        <f>AJ37</f>
        <v>1</v>
      </c>
      <c r="AL37" s="28">
        <f>$Z$11</f>
        <v>500</v>
      </c>
      <c r="AM37" s="397">
        <f t="shared" si="5"/>
        <v>152.4</v>
      </c>
      <c r="AN37" s="250"/>
      <c r="AO37" s="250"/>
      <c r="AP37" s="222">
        <f t="shared" si="45"/>
        <v>1</v>
      </c>
      <c r="AQ37" s="245">
        <f t="shared" si="46"/>
        <v>1</v>
      </c>
      <c r="AR37" s="245">
        <f>'SMMR-Calcs'!AH65</f>
        <v>0</v>
      </c>
      <c r="AS37" s="246"/>
      <c r="AT37" s="248"/>
      <c r="AU37" s="676">
        <f>'SMMR-Calcs'!J65</f>
        <v>14.432361605921546</v>
      </c>
      <c r="AV37" s="636">
        <f>'SMMR-Calcs'!K65</f>
        <v>5</v>
      </c>
      <c r="AW37" s="636">
        <f>'SMMR-Calcs'!L65</f>
        <v>95</v>
      </c>
      <c r="AX37" s="670">
        <f>'SMMR-Calcs'!R65</f>
        <v>6.8823267291717491E-2</v>
      </c>
      <c r="AY37" s="218">
        <f>'SMMR-Calcs'!AO65</f>
        <v>-3397.4751747821151</v>
      </c>
      <c r="AZ37" s="689">
        <f>'SMMR-Calcs'!AP65</f>
        <v>-0.40446133033120418</v>
      </c>
      <c r="BA37" s="700">
        <f t="shared" si="47"/>
        <v>-819.47101215744624</v>
      </c>
      <c r="BB37" s="600"/>
      <c r="BC37" s="600"/>
      <c r="BD37" s="600"/>
      <c r="BE37" s="600"/>
      <c r="BF37" s="600"/>
      <c r="BG37" s="600"/>
      <c r="BH37" s="598"/>
      <c r="BI37" s="598"/>
      <c r="BJ37" s="222">
        <f t="shared" si="48"/>
        <v>1</v>
      </c>
      <c r="BK37" s="156">
        <f t="shared" si="48"/>
        <v>1</v>
      </c>
      <c r="BL37" s="269">
        <f t="shared" si="48"/>
        <v>0</v>
      </c>
      <c r="BM37" s="246"/>
      <c r="BN37" s="250"/>
      <c r="BO37" s="667">
        <f>'WNTR-Calcs'!J64</f>
        <v>14.421898531954078</v>
      </c>
      <c r="BP37" s="668">
        <f>'WNTR-Calcs'!K64</f>
        <v>15.076394194041253</v>
      </c>
      <c r="BQ37" s="669">
        <f>'WNTR-Calcs'!L64</f>
        <v>-16.071200000000001</v>
      </c>
      <c r="BR37" s="670">
        <f>'WNTR-Calcs'!R64</f>
        <v>8.7926598671441078E-2</v>
      </c>
      <c r="BS37" s="218">
        <f>'WNTR-Calcs'!AO65</f>
        <v>7208.374785440883</v>
      </c>
      <c r="BT37" s="698">
        <f>'WNTR-Calcs'!AP65</f>
        <v>0.85813985540962889</v>
      </c>
      <c r="BU37" s="700">
        <f>IF(BK37="XX", "XX", BS37*1.08*$AG$10/1000)</f>
        <v>62132.442295611982</v>
      </c>
      <c r="BV37" s="602"/>
      <c r="BW37" s="602"/>
      <c r="BX37" s="602"/>
      <c r="BY37" s="602"/>
      <c r="BZ37" s="602"/>
      <c r="CA37" s="602"/>
      <c r="CB37" s="250"/>
      <c r="CC37" s="250"/>
      <c r="CD37" s="222">
        <f t="shared" si="49"/>
        <v>1</v>
      </c>
      <c r="CE37" s="581">
        <f t="shared" si="49"/>
        <v>1</v>
      </c>
      <c r="CF37" s="581">
        <f t="shared" si="49"/>
        <v>0</v>
      </c>
      <c r="CG37" s="582"/>
      <c r="CH37" s="250"/>
      <c r="CI37" s="635">
        <f>'SMMR-Calcs'!L65</f>
        <v>95</v>
      </c>
      <c r="CJ37" s="636">
        <f>'SMMR-Calcs'!Q65</f>
        <v>14.529969868494526</v>
      </c>
      <c r="CK37" s="636">
        <f>'SMMR-Calcs'!S65</f>
        <v>38.725385782937394</v>
      </c>
      <c r="CL37" s="637">
        <f>IF(AK37="XX", "XX", AY37)</f>
        <v>-3397.4751747821151</v>
      </c>
      <c r="CM37" s="638">
        <f>IF(AK37="XX",  "XX", CL37*60/CJ37)</f>
        <v>-14029.520524260248</v>
      </c>
      <c r="CN37" s="589">
        <f>'SMMR-Calcs'!AQ65</f>
        <v>-73385.463775293698</v>
      </c>
      <c r="CO37" s="590">
        <f>'SMMR-Calcs'!AR65</f>
        <v>-11007.819566294054</v>
      </c>
      <c r="CP37" s="197"/>
      <c r="CQ37" s="635">
        <f>'WNTR-Calcs'!L65</f>
        <v>-16</v>
      </c>
      <c r="CR37" s="636">
        <f>'WNTR-Calcs'!Q65</f>
        <v>11.366724510272752</v>
      </c>
      <c r="CS37" s="636">
        <f>'WNTR-Calcs'!S65</f>
        <v>-3.3807880333998637</v>
      </c>
      <c r="CT37" s="637">
        <f>IF(AR37="XX", "XX", BS37)</f>
        <v>7208.374785440883</v>
      </c>
      <c r="CU37" s="638">
        <f>IF(AR37="XX",  "XX", CT37*60/CR37)</f>
        <v>38049.878549935471</v>
      </c>
      <c r="CV37" s="589">
        <f>'WNTR-Calcs'!AQ65</f>
        <v>-685083.93960830162</v>
      </c>
      <c r="CW37" s="590">
        <f>'WNTR-Calcs'!AR65</f>
        <v>23355.134304828462</v>
      </c>
      <c r="CX37" s="609"/>
      <c r="CY37" s="250"/>
    </row>
    <row r="38" spans="1:103" ht="16.05" customHeight="1">
      <c r="A38" s="250"/>
      <c r="B38" s="504"/>
      <c r="C38" s="72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1"/>
      <c r="V38" s="250"/>
      <c r="W38" s="250"/>
      <c r="X38" s="250"/>
      <c r="Y38" s="250"/>
      <c r="Z38" s="494"/>
      <c r="AA38" s="250"/>
      <c r="AB38" s="250"/>
      <c r="AC38" s="250"/>
      <c r="AD38" s="250"/>
      <c r="AE38" s="250"/>
      <c r="AF38" s="250"/>
      <c r="AG38" s="250"/>
      <c r="AH38" s="251"/>
      <c r="AI38" s="495"/>
      <c r="AJ38" s="496"/>
      <c r="AK38" s="497"/>
      <c r="AL38" s="495"/>
      <c r="AM38" s="495"/>
      <c r="AN38" s="250"/>
      <c r="AO38" s="250"/>
      <c r="AP38" s="498"/>
      <c r="AQ38" s="247"/>
      <c r="AR38" s="247"/>
      <c r="AS38" s="499"/>
      <c r="AT38" s="247"/>
      <c r="AU38" s="671"/>
      <c r="AV38" s="610"/>
      <c r="AW38" s="610"/>
      <c r="AX38" s="672"/>
      <c r="AY38" s="500"/>
      <c r="AZ38" s="501"/>
      <c r="BA38" s="679"/>
      <c r="BB38" s="501"/>
      <c r="BC38" s="501"/>
      <c r="BD38" s="501"/>
      <c r="BE38" s="501"/>
      <c r="BF38" s="501"/>
      <c r="BG38" s="501"/>
      <c r="BH38" s="598"/>
      <c r="BI38" s="598"/>
      <c r="BJ38" s="252"/>
      <c r="BK38" s="256"/>
      <c r="BL38" s="256"/>
      <c r="BM38" s="252"/>
      <c r="BN38" s="250"/>
      <c r="BO38" s="640"/>
      <c r="BP38" s="640"/>
      <c r="BQ38" s="640"/>
      <c r="BR38" s="640"/>
      <c r="BS38" s="250"/>
      <c r="BT38" s="502"/>
      <c r="BU38" s="601"/>
      <c r="BV38" s="601"/>
      <c r="BW38" s="601"/>
      <c r="BX38" s="601"/>
      <c r="BY38" s="601"/>
      <c r="BZ38" s="601"/>
      <c r="CA38" s="601"/>
      <c r="CB38" s="250"/>
      <c r="CC38" s="250"/>
      <c r="CD38" s="498"/>
      <c r="CE38" s="247"/>
      <c r="CF38" s="247"/>
      <c r="CG38" s="503"/>
      <c r="CH38" s="250"/>
      <c r="CI38" s="610"/>
      <c r="CJ38" s="610"/>
      <c r="CK38" s="610"/>
      <c r="CL38" s="611"/>
      <c r="CM38" s="611"/>
      <c r="CN38" s="505"/>
      <c r="CO38" s="505"/>
      <c r="CP38" s="250"/>
      <c r="CQ38" s="640"/>
      <c r="CR38" s="640"/>
      <c r="CS38" s="640"/>
      <c r="CT38" s="640"/>
      <c r="CU38" s="640"/>
      <c r="CV38" s="250"/>
      <c r="CW38" s="250"/>
      <c r="CX38" s="250"/>
      <c r="CY38" s="250"/>
    </row>
  </sheetData>
  <mergeCells count="12">
    <mergeCell ref="CI2:CM3"/>
    <mergeCell ref="CQ2:CU3"/>
    <mergeCell ref="AF3:AG3"/>
    <mergeCell ref="AA15:AB15"/>
    <mergeCell ref="AC15:AD15"/>
    <mergeCell ref="AE15:AF15"/>
    <mergeCell ref="W2:AC3"/>
    <mergeCell ref="AD2:AE3"/>
    <mergeCell ref="AU2:AX3"/>
    <mergeCell ref="AY2:AZ3"/>
    <mergeCell ref="BO2:BR3"/>
    <mergeCell ref="BS2:BT3"/>
  </mergeCells>
  <pageMargins left="0.7" right="0.7" top="0.75" bottom="0.75" header="0.3" footer="0.3"/>
  <pageSetup scale="80" orientation="landscape" r:id="rId1"/>
  <headerFooter>
    <oddHeader>&amp;L&amp;F&amp;R&amp;A</oddHeader>
    <oddFooter>&amp;LVarkie C. Thomas, Ph.D. P.E.&amp;CCollege of Architecture&amp;RIllinois Institute of Technology, Chicago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65"/>
  <sheetViews>
    <sheetView zoomScale="70" zoomScaleNormal="70" workbookViewId="0">
      <selection activeCell="AM13" sqref="AM13"/>
    </sheetView>
  </sheetViews>
  <sheetFormatPr defaultColWidth="6.69921875" defaultRowHeight="19.05" customHeight="1"/>
  <cols>
    <col min="1" max="1" width="2.69921875" style="4" customWidth="1"/>
    <col min="2" max="2" width="6.19921875" style="31" customWidth="1"/>
    <col min="3" max="4" width="6.19921875" style="32" customWidth="1"/>
    <col min="5" max="6" width="7.19921875" style="32" customWidth="1"/>
    <col min="7" max="7" width="7.19921875" style="3" customWidth="1"/>
    <col min="8" max="10" width="7.69921875" style="429" customWidth="1"/>
    <col min="11" max="11" width="7.19921875" style="3" customWidth="1"/>
    <col min="12" max="14" width="7.19921875" style="2" customWidth="1"/>
    <col min="15" max="15" width="8.19921875" style="2" customWidth="1"/>
    <col min="16" max="17" width="7.19921875" style="3" customWidth="1"/>
    <col min="18" max="18" width="8.19921875" style="3" customWidth="1"/>
    <col min="19" max="19" width="8.19921875" style="59" customWidth="1"/>
    <col min="20" max="21" width="7.69921875" style="3" customWidth="1"/>
    <col min="22" max="23" width="2.69921875" style="3" customWidth="1"/>
    <col min="24" max="25" width="6.19921875" style="3" customWidth="1"/>
    <col min="26" max="31" width="7.19921875" style="3" customWidth="1"/>
    <col min="32" max="32" width="7.19921875" style="4" customWidth="1"/>
    <col min="33" max="33" width="2.69921875" style="4" customWidth="1"/>
    <col min="34" max="34" width="7.19921875" style="4" customWidth="1"/>
    <col min="35" max="40" width="7.19921875" style="5" customWidth="1"/>
    <col min="41" max="42" width="7.19921875" style="186" customWidth="1"/>
    <col min="43" max="43" width="7.69921875" style="428" customWidth="1"/>
    <col min="44" max="44" width="7.19921875" style="428" customWidth="1"/>
    <col min="45" max="46" width="2.69921875" style="4" customWidth="1"/>
    <col min="47" max="16384" width="6.69921875" style="4"/>
  </cols>
  <sheetData>
    <row r="1" spans="1:44" ht="19.05" customHeight="1">
      <c r="AI1" s="186"/>
      <c r="AJ1" s="186"/>
      <c r="AK1" s="186"/>
      <c r="AL1" s="186"/>
      <c r="AM1" s="186"/>
      <c r="AN1" s="186"/>
    </row>
    <row r="2" spans="1:44" ht="19.05" customHeight="1" thickBot="1">
      <c r="B2" s="7" t="s">
        <v>138</v>
      </c>
      <c r="C2" s="7"/>
      <c r="D2" s="7"/>
      <c r="E2" s="7"/>
      <c r="F2" s="7"/>
      <c r="G2" s="7"/>
      <c r="H2" s="430"/>
      <c r="I2" s="430"/>
      <c r="J2" s="430"/>
      <c r="K2" s="10"/>
      <c r="L2" s="63" t="s">
        <v>67</v>
      </c>
      <c r="M2" s="8"/>
      <c r="N2" s="9"/>
      <c r="O2" s="9"/>
      <c r="P2" s="64"/>
      <c r="Q2" s="10"/>
      <c r="R2" s="64"/>
      <c r="S2" s="17"/>
      <c r="AG2" s="55"/>
    </row>
    <row r="3" spans="1:44" ht="19.05" customHeight="1">
      <c r="A3" s="55"/>
      <c r="B3" s="76"/>
      <c r="C3" s="76"/>
      <c r="D3" s="76"/>
      <c r="E3" s="76"/>
      <c r="F3" s="76"/>
      <c r="G3" s="76"/>
      <c r="H3" s="431"/>
      <c r="I3" s="431"/>
      <c r="J3" s="431"/>
      <c r="K3" s="76"/>
      <c r="L3" s="77"/>
      <c r="M3" s="77"/>
      <c r="N3" s="77"/>
      <c r="O3" s="77"/>
      <c r="P3" s="78"/>
      <c r="Q3" s="16"/>
      <c r="R3" s="16"/>
      <c r="S3" s="30"/>
      <c r="T3" s="10"/>
      <c r="X3" s="179" t="s">
        <v>84</v>
      </c>
      <c r="Y3" s="184"/>
      <c r="Z3" s="183"/>
      <c r="AA3" s="190" t="s">
        <v>62</v>
      </c>
      <c r="AB3" s="192">
        <v>0.29610503437779401</v>
      </c>
      <c r="AC3" s="190" t="s">
        <v>63</v>
      </c>
      <c r="AD3" s="192">
        <v>4.0185657738752996</v>
      </c>
      <c r="AE3" s="190" t="s">
        <v>64</v>
      </c>
      <c r="AF3" s="192">
        <v>0.14503768078946899</v>
      </c>
      <c r="AG3" s="55"/>
      <c r="AH3" s="439" t="s">
        <v>209</v>
      </c>
      <c r="AI3" s="439"/>
      <c r="AJ3" s="440"/>
      <c r="AK3" s="439"/>
      <c r="AL3" s="441"/>
      <c r="AM3" s="442" t="s">
        <v>210</v>
      </c>
      <c r="AN3" s="455">
        <v>5.9800000000000001E-4</v>
      </c>
      <c r="AO3" s="463" t="s">
        <v>70</v>
      </c>
      <c r="AP3" s="456">
        <v>32.17</v>
      </c>
      <c r="AQ3" s="442" t="s">
        <v>211</v>
      </c>
      <c r="AR3" s="457">
        <v>1.2999999999999999E-2</v>
      </c>
    </row>
    <row r="4" spans="1:44" ht="19.05" customHeight="1" thickBot="1">
      <c r="A4" s="55"/>
      <c r="B4" s="111" t="s">
        <v>133</v>
      </c>
      <c r="C4" s="11"/>
      <c r="D4" s="112">
        <f>'Input-Output'!Z11</f>
        <v>500</v>
      </c>
      <c r="E4" s="16" t="s">
        <v>33</v>
      </c>
      <c r="F4" s="113">
        <f>'Input-Output'!X15</f>
        <v>1309</v>
      </c>
      <c r="G4" s="16" t="s">
        <v>65</v>
      </c>
      <c r="H4" s="432">
        <f>'Input-Output'!Y15</f>
        <v>654.5</v>
      </c>
      <c r="I4" s="433"/>
      <c r="J4" s="434" t="s">
        <v>134</v>
      </c>
      <c r="K4" s="1815">
        <f>'Input-Output'!AA15</f>
        <v>2782800</v>
      </c>
      <c r="L4" s="1816"/>
      <c r="M4" s="55" t="s">
        <v>135</v>
      </c>
      <c r="N4" s="55"/>
      <c r="O4" s="1813">
        <f>'Input-Output'!AC15</f>
        <v>584440</v>
      </c>
      <c r="P4" s="1814"/>
      <c r="Q4" s="3" t="s">
        <v>137</v>
      </c>
      <c r="R4" s="113">
        <f>'Input-Output'!AE15</f>
        <v>1633.42</v>
      </c>
      <c r="S4" s="24" t="s">
        <v>136</v>
      </c>
      <c r="T4" s="77"/>
      <c r="U4" s="114">
        <f>'Input-Output'!AF7 - 'Input-Output'!AF6</f>
        <v>5</v>
      </c>
      <c r="X4" s="185" t="s">
        <v>85</v>
      </c>
      <c r="Y4" s="188"/>
      <c r="Z4" s="189"/>
      <c r="AA4" s="191" t="s">
        <v>62</v>
      </c>
      <c r="AB4" s="187">
        <v>7.3684257279742205E-2</v>
      </c>
      <c r="AC4" s="191" t="s">
        <v>18</v>
      </c>
      <c r="AD4" s="187">
        <v>0.24884500000000001</v>
      </c>
      <c r="AE4" s="191" t="s">
        <v>64</v>
      </c>
      <c r="AF4" s="187">
        <v>3.6091901676055402E-2</v>
      </c>
      <c r="AG4" s="55"/>
      <c r="AH4" s="439" t="s">
        <v>212</v>
      </c>
      <c r="AI4" s="439"/>
      <c r="AJ4" s="439"/>
      <c r="AK4" s="441"/>
      <c r="AM4" s="444" t="s">
        <v>69</v>
      </c>
      <c r="AN4" s="456">
        <v>0.4</v>
      </c>
      <c r="AO4" s="464" t="s">
        <v>224</v>
      </c>
      <c r="AP4" s="458">
        <v>0.65</v>
      </c>
      <c r="AQ4" s="443" t="s">
        <v>213</v>
      </c>
      <c r="AR4" s="456">
        <v>6.5000000000000002E-2</v>
      </c>
    </row>
    <row r="5" spans="1:44" ht="19.05" customHeight="1">
      <c r="B5" s="85"/>
      <c r="C5" s="86"/>
      <c r="D5" s="87"/>
      <c r="E5" s="88" t="s">
        <v>66</v>
      </c>
      <c r="F5" s="89"/>
      <c r="G5" s="90" t="s">
        <v>57</v>
      </c>
      <c r="H5" s="91"/>
      <c r="I5" s="91"/>
      <c r="J5" s="91"/>
      <c r="K5" s="91" t="s">
        <v>60</v>
      </c>
      <c r="L5" s="93" t="s">
        <v>20</v>
      </c>
      <c r="M5" s="93" t="s">
        <v>21</v>
      </c>
      <c r="N5" s="93" t="s">
        <v>36</v>
      </c>
      <c r="O5" s="92" t="s">
        <v>40</v>
      </c>
      <c r="P5" s="92" t="s">
        <v>37</v>
      </c>
      <c r="Q5" s="92" t="s">
        <v>38</v>
      </c>
      <c r="R5" s="92" t="s">
        <v>39</v>
      </c>
      <c r="S5" s="94" t="s">
        <v>41</v>
      </c>
      <c r="T5" s="92" t="s">
        <v>42</v>
      </c>
      <c r="U5" s="95" t="s">
        <v>43</v>
      </c>
      <c r="X5" s="162" t="s">
        <v>130</v>
      </c>
      <c r="Y5" s="163"/>
      <c r="Z5" s="164" t="s">
        <v>142</v>
      </c>
      <c r="AA5" s="137"/>
      <c r="AB5" s="137"/>
      <c r="AC5" s="137"/>
      <c r="AD5" s="137"/>
      <c r="AE5" s="137"/>
      <c r="AF5" s="138"/>
      <c r="AG5" s="55"/>
      <c r="AH5" s="437" t="s">
        <v>205</v>
      </c>
      <c r="AI5" s="439"/>
      <c r="AJ5" s="439"/>
      <c r="AK5" s="182" t="s">
        <v>223</v>
      </c>
      <c r="AL5" s="441"/>
      <c r="AM5" s="113">
        <f>'Input-Output'!AF10</f>
        <v>2680</v>
      </c>
      <c r="AN5" s="438" t="s">
        <v>208</v>
      </c>
      <c r="AO5" s="438" t="s">
        <v>218</v>
      </c>
      <c r="AP5" s="460" t="s">
        <v>220</v>
      </c>
      <c r="AQ5" s="446"/>
      <c r="AR5" s="461" t="s">
        <v>219</v>
      </c>
    </row>
    <row r="6" spans="1:44" ht="19.05" customHeight="1">
      <c r="B6" s="96"/>
      <c r="C6" s="36"/>
      <c r="D6" s="80"/>
      <c r="E6" s="82" t="s">
        <v>14</v>
      </c>
      <c r="F6" s="83" t="s">
        <v>15</v>
      </c>
      <c r="G6" s="70" t="s">
        <v>18</v>
      </c>
      <c r="H6" s="70" t="s">
        <v>17</v>
      </c>
      <c r="I6" s="70" t="s">
        <v>19</v>
      </c>
      <c r="J6" s="70" t="s">
        <v>16</v>
      </c>
      <c r="K6" s="70" t="s">
        <v>61</v>
      </c>
      <c r="L6" s="71" t="s">
        <v>44</v>
      </c>
      <c r="M6" s="71" t="s">
        <v>44</v>
      </c>
      <c r="N6" s="71" t="s">
        <v>44</v>
      </c>
      <c r="O6" s="69" t="s">
        <v>47</v>
      </c>
      <c r="P6" s="69" t="s">
        <v>45</v>
      </c>
      <c r="Q6" s="69" t="s">
        <v>46</v>
      </c>
      <c r="R6" s="69" t="s">
        <v>22</v>
      </c>
      <c r="S6" s="84" t="s">
        <v>48</v>
      </c>
      <c r="T6" s="69" t="s">
        <v>49</v>
      </c>
      <c r="U6" s="97" t="s">
        <v>49</v>
      </c>
      <c r="X6" s="165" t="s">
        <v>102</v>
      </c>
      <c r="Y6" s="72"/>
      <c r="Z6" s="73" t="s">
        <v>50</v>
      </c>
      <c r="AA6" s="73" t="s">
        <v>51</v>
      </c>
      <c r="AB6" s="73" t="s">
        <v>52</v>
      </c>
      <c r="AC6" s="73" t="s">
        <v>53</v>
      </c>
      <c r="AD6" s="73" t="s">
        <v>54</v>
      </c>
      <c r="AE6" s="73" t="s">
        <v>55</v>
      </c>
      <c r="AF6" s="74" t="s">
        <v>56</v>
      </c>
      <c r="AG6" s="55"/>
      <c r="AH6" s="437" t="s">
        <v>214</v>
      </c>
      <c r="AI6" s="447" t="s">
        <v>206</v>
      </c>
      <c r="AJ6" s="441"/>
      <c r="AK6" s="448"/>
      <c r="AL6" s="448"/>
      <c r="AM6" s="452" t="s">
        <v>221</v>
      </c>
      <c r="AN6" s="449"/>
      <c r="AO6" s="453" t="s">
        <v>202</v>
      </c>
      <c r="AP6" s="454"/>
      <c r="AQ6" s="462">
        <v>0.24</v>
      </c>
      <c r="AR6" s="445"/>
    </row>
    <row r="7" spans="1:44" ht="19.05" customHeight="1">
      <c r="B7" s="98" t="s">
        <v>132</v>
      </c>
      <c r="C7" s="35"/>
      <c r="D7" s="35"/>
      <c r="E7" s="46">
        <v>0</v>
      </c>
      <c r="F7" s="46">
        <v>0</v>
      </c>
      <c r="G7" s="47">
        <f xml:space="preserve"> ( 101325*(1-2.25577*(10^(-5))*F7)^5.2555 ) /1000</f>
        <v>101.325</v>
      </c>
      <c r="H7" s="47">
        <f>G7*0.2953</f>
        <v>29.921272500000001</v>
      </c>
      <c r="I7" s="47">
        <f>J7*27.7070465550844</f>
        <v>406.03447543319317</v>
      </c>
      <c r="J7" s="47">
        <f>H7/2.041772658</f>
        <v>14.654556364423604</v>
      </c>
      <c r="K7" s="47">
        <f>('Input-Output'!AF6+'Input-Output'!AF7)/2</f>
        <v>7.5</v>
      </c>
      <c r="L7" s="48">
        <f>'Input-Output'!AF11</f>
        <v>75</v>
      </c>
      <c r="M7" s="48">
        <f>'Input-Output'!AF12</f>
        <v>62</v>
      </c>
      <c r="N7" s="49">
        <f>100.45+33.193*AE7+2.319*AE7^2+0.17074*AE7^3+1.2063*(AD7*0.4897705)^3</f>
        <v>53.291933873220287</v>
      </c>
      <c r="O7" s="50">
        <f>((1093-0.556*M7)*AA7 - 0.24*(L7-M7))/(1093 + 0.444*L7-M7)</f>
        <v>8.9200822277354305E-3</v>
      </c>
      <c r="P7" s="51">
        <f>((O7/AF7)/(1-(1-(O7/AF7))*(AB7/J7)))*100</f>
        <v>48.128472062697938</v>
      </c>
      <c r="Q7" s="79">
        <f>0.7543*(T7*(1+1.6078*O7))/H7</f>
        <v>13.672833203605759</v>
      </c>
      <c r="R7" s="81">
        <f xml:space="preserve"> 1/Q7</f>
        <v>7.3137731230150826E-2</v>
      </c>
      <c r="S7" s="67">
        <f>0.24*L7+O7*(1061+0.444*L7)</f>
        <v>27.76124598181088</v>
      </c>
      <c r="T7" s="54">
        <f>L7+459.7</f>
        <v>534.70000000000005</v>
      </c>
      <c r="U7" s="99">
        <f>M7+459.7</f>
        <v>521.70000000000005</v>
      </c>
      <c r="X7" s="139" t="s">
        <v>128</v>
      </c>
      <c r="Y7" s="34" t="s">
        <v>126</v>
      </c>
      <c r="Z7" s="41">
        <f xml:space="preserve"> EXP((-10440.397/U7)+(-11.29465) + (-0.027022355*U7) + (0.00001289036*U7*U7) + (-0.0000000024780681*U7^3)+(6.5459673*LN(U7)))</f>
        <v>0.27548167941417362</v>
      </c>
      <c r="AA7" s="39">
        <f>0.62198*Z7/(J7-Z7)</f>
        <v>1.1916211488953355E-2</v>
      </c>
      <c r="AB7" s="41">
        <f xml:space="preserve"> EXP((-10440.397/T7)+(-11.29465) + (-0.027022355*T7) + (0.00001289036*T7*T7) + (-0.0000000024780681*T7^3)+(6.5459673*LN(T7)))</f>
        <v>0.43050566941181179</v>
      </c>
      <c r="AC7" s="39">
        <f>AB7*2.041772658</f>
        <v>0.87899470491902432</v>
      </c>
      <c r="AD7" s="39">
        <f>(H7*O7)/(0.62198+O7)</f>
        <v>0.42304672098954677</v>
      </c>
      <c r="AE7" s="39">
        <f>LN(AD7*0.4897705)</f>
        <v>-1.574091019465897</v>
      </c>
      <c r="AF7" s="140">
        <f>0.62198*(AB7/(J7-AB7))</f>
        <v>1.8824870777117031E-2</v>
      </c>
      <c r="AH7" s="437" t="s">
        <v>215</v>
      </c>
      <c r="AI7" s="447" t="s">
        <v>207</v>
      </c>
      <c r="AJ7" s="441"/>
      <c r="AK7" s="441"/>
      <c r="AL7" s="427" t="s">
        <v>203</v>
      </c>
      <c r="AN7" s="441"/>
      <c r="AO7" s="441"/>
      <c r="AP7" s="426" t="s">
        <v>198</v>
      </c>
      <c r="AR7" s="450"/>
    </row>
    <row r="8" spans="1:44" ht="19.05" customHeight="1" thickBot="1">
      <c r="B8" s="100" t="s">
        <v>131</v>
      </c>
      <c r="C8" s="101"/>
      <c r="D8" s="101"/>
      <c r="E8" s="102">
        <f>E65</f>
        <v>500</v>
      </c>
      <c r="F8" s="102">
        <f>F65</f>
        <v>152.4</v>
      </c>
      <c r="G8" s="103">
        <f xml:space="preserve"> ( 101325*(1-2.25577*(10^(-5))*F8)^5.2555 ) /1000</f>
        <v>99.507669506043712</v>
      </c>
      <c r="H8" s="103">
        <f>G8*0.2953</f>
        <v>29.38461480513471</v>
      </c>
      <c r="I8" s="103">
        <f>J8*27.7070465550844</f>
        <v>398.75198015757229</v>
      </c>
      <c r="J8" s="103">
        <f>H8/2.041772658</f>
        <v>14.391717260979556</v>
      </c>
      <c r="K8" s="104">
        <f>K65</f>
        <v>5</v>
      </c>
      <c r="L8" s="104">
        <f>'Input-Output'!AF11</f>
        <v>75</v>
      </c>
      <c r="M8" s="104">
        <f>'Input-Output'!AF12</f>
        <v>62</v>
      </c>
      <c r="N8" s="104">
        <f t="shared" ref="N8:U8" si="0">N65</f>
        <v>66.078057703881669</v>
      </c>
      <c r="O8" s="105">
        <f t="shared" si="0"/>
        <v>1.4435890591687118E-2</v>
      </c>
      <c r="P8" s="102">
        <f t="shared" si="0"/>
        <v>40.069938452126571</v>
      </c>
      <c r="Q8" s="106">
        <f t="shared" si="0"/>
        <v>14.529969868494526</v>
      </c>
      <c r="R8" s="107">
        <f t="shared" si="0"/>
        <v>6.8823267291717491E-2</v>
      </c>
      <c r="S8" s="108">
        <f t="shared" si="0"/>
        <v>38.725385782937394</v>
      </c>
      <c r="T8" s="109">
        <f t="shared" si="0"/>
        <v>554.70000000000005</v>
      </c>
      <c r="U8" s="110">
        <f t="shared" si="0"/>
        <v>534.70000000000005</v>
      </c>
      <c r="X8" s="141" t="s">
        <v>129</v>
      </c>
      <c r="Y8" s="128" t="s">
        <v>127</v>
      </c>
      <c r="Z8" s="125">
        <f xml:space="preserve"> IF(E8="XX", "XX", EXP((-10440.397/U8)+(-11.29465) + (-0.027022355*U8) + (0.00001289036*U8*U8) + (-0.0000000024780681*U8^3)+(6.5459673*LN(U8))) )</f>
        <v>0.43050566941181179</v>
      </c>
      <c r="AA8" s="142">
        <f>IF(E8="XX", "XX", 0.62198*Z8/(J8-Z8))</f>
        <v>1.9179274986598098E-2</v>
      </c>
      <c r="AB8" s="143">
        <f xml:space="preserve"> IF(E8="XX", "XX", EXP((-10440.397/T8)+(-11.29465) + (-0.027022355*T8) + (0.00001289036*T8*T8) + (-0.0000000024780681*T8^3)+(6.5459673*LN(T8))) )</f>
        <v>0.8169985641775287</v>
      </c>
      <c r="AC8" s="142">
        <f>IF(E8="XX", "XX", AB8*2.041772658 )</f>
        <v>1.6681253299629366</v>
      </c>
      <c r="AD8" s="142">
        <f>IF(E8="XX", "XX", (H8*O8)/(0.62198+O8))</f>
        <v>0.66653440097388883</v>
      </c>
      <c r="AE8" s="142">
        <f>IF(E8="XX", "XX", LN(AD8*0.4897705))</f>
        <v>-1.1194818912735744</v>
      </c>
      <c r="AF8" s="144">
        <f>IF(E8="XX", "XX", 0.62198*(AB8/(J8-AB8)))</f>
        <v>3.7434055047258726E-2</v>
      </c>
      <c r="AH8" s="451" t="s">
        <v>143</v>
      </c>
      <c r="AI8" s="447" t="s">
        <v>216</v>
      </c>
      <c r="AJ8" s="441"/>
      <c r="AK8" s="441"/>
      <c r="AL8" s="459" t="s">
        <v>217</v>
      </c>
      <c r="AM8" s="452" t="s">
        <v>201</v>
      </c>
      <c r="AN8" s="441"/>
      <c r="AO8" s="441"/>
      <c r="AP8" s="441"/>
      <c r="AQ8" s="445"/>
      <c r="AR8" s="445"/>
    </row>
    <row r="9" spans="1:44" ht="19.05" customHeight="1">
      <c r="B9" s="13"/>
      <c r="C9" s="11"/>
      <c r="D9" s="11"/>
      <c r="E9" s="12"/>
      <c r="F9" s="12"/>
      <c r="G9" s="14"/>
      <c r="H9" s="14"/>
      <c r="I9" s="14"/>
      <c r="J9" s="14"/>
      <c r="K9" s="14"/>
      <c r="L9" s="9"/>
      <c r="M9" s="9"/>
      <c r="N9" s="18"/>
      <c r="O9" s="19"/>
      <c r="P9" s="20"/>
      <c r="Q9" s="21"/>
      <c r="R9" s="10"/>
      <c r="S9" s="56"/>
      <c r="T9" s="22"/>
      <c r="U9" s="22"/>
      <c r="Z9" s="19"/>
      <c r="AA9" s="15"/>
      <c r="AB9" s="19"/>
      <c r="AC9" s="15"/>
      <c r="AD9" s="15"/>
      <c r="AE9" s="15"/>
      <c r="AF9" s="19"/>
      <c r="AG9" s="55"/>
      <c r="AH9" s="439"/>
      <c r="AI9" s="439"/>
      <c r="AJ9" s="439"/>
      <c r="AK9" s="439"/>
      <c r="AL9" s="439"/>
      <c r="AM9" s="439"/>
      <c r="AN9" s="439"/>
      <c r="AO9" s="439"/>
    </row>
    <row r="10" spans="1:44" ht="19.05" customHeight="1" thickBot="1">
      <c r="B10" s="66">
        <f>'Input-Output'!AK5</f>
        <v>8</v>
      </c>
      <c r="E10" s="13" t="s">
        <v>121</v>
      </c>
      <c r="F10" s="23"/>
      <c r="G10" s="115">
        <f>'Input-Output'!AG22</f>
        <v>2</v>
      </c>
      <c r="H10" s="435" t="s">
        <v>122</v>
      </c>
      <c r="I10" s="436"/>
      <c r="J10" s="436"/>
      <c r="K10" s="116">
        <f>'Input-Output'!AG32</f>
        <v>8400</v>
      </c>
      <c r="X10" s="75">
        <f>B10</f>
        <v>8</v>
      </c>
      <c r="Z10" s="61" t="s">
        <v>125</v>
      </c>
      <c r="AA10" s="56"/>
      <c r="AB10" s="117">
        <f>'Input-Output'!AG24</f>
        <v>0.3</v>
      </c>
      <c r="AC10" s="62" t="s">
        <v>123</v>
      </c>
      <c r="AD10" s="19"/>
      <c r="AE10" s="117">
        <f>'Input-Output'!AG25</f>
        <v>0.6</v>
      </c>
      <c r="AH10" s="68" t="s">
        <v>124</v>
      </c>
      <c r="AI10" s="15"/>
      <c r="AJ10" s="181"/>
      <c r="AK10" s="118">
        <f>'Input-Output'!AG26</f>
        <v>5.0000000000000001E-3</v>
      </c>
      <c r="AL10" s="180" t="s">
        <v>141</v>
      </c>
      <c r="AM10" s="151"/>
      <c r="AN10" s="155">
        <f>'Input-Output'!AG33</f>
        <v>25.2</v>
      </c>
      <c r="AO10" s="180" t="s">
        <v>222</v>
      </c>
      <c r="AP10" s="152"/>
      <c r="AR10" s="155">
        <f>SUM(AR13:AR14)/12</f>
        <v>366.55628391690772</v>
      </c>
    </row>
    <row r="11" spans="1:44" ht="19.05" customHeight="1">
      <c r="B11" s="162" t="s">
        <v>58</v>
      </c>
      <c r="C11" s="168" t="s">
        <v>118</v>
      </c>
      <c r="D11" s="163" t="s">
        <v>117</v>
      </c>
      <c r="E11" s="169" t="s">
        <v>66</v>
      </c>
      <c r="F11" s="163"/>
      <c r="G11" s="170" t="s">
        <v>57</v>
      </c>
      <c r="H11" s="171"/>
      <c r="I11" s="171"/>
      <c r="J11" s="171"/>
      <c r="K11" s="171" t="s">
        <v>60</v>
      </c>
      <c r="L11" s="172" t="s">
        <v>20</v>
      </c>
      <c r="M11" s="172" t="s">
        <v>21</v>
      </c>
      <c r="N11" s="172" t="s">
        <v>36</v>
      </c>
      <c r="O11" s="145" t="s">
        <v>40</v>
      </c>
      <c r="P11" s="145" t="s">
        <v>37</v>
      </c>
      <c r="Q11" s="145" t="s">
        <v>38</v>
      </c>
      <c r="R11" s="145" t="s">
        <v>39</v>
      </c>
      <c r="S11" s="145" t="s">
        <v>41</v>
      </c>
      <c r="T11" s="145" t="s">
        <v>42</v>
      </c>
      <c r="U11" s="146" t="s">
        <v>43</v>
      </c>
      <c r="X11" s="166" t="str">
        <f>B11</f>
        <v>Level</v>
      </c>
      <c r="Y11" s="163" t="str">
        <f>D11</f>
        <v>Bldg</v>
      </c>
      <c r="Z11" s="164" t="s">
        <v>142</v>
      </c>
      <c r="AA11" s="145"/>
      <c r="AB11" s="145"/>
      <c r="AC11" s="145"/>
      <c r="AD11" s="145"/>
      <c r="AE11" s="145"/>
      <c r="AF11" s="146"/>
      <c r="AH11" s="465" t="s">
        <v>76</v>
      </c>
      <c r="AI11" s="466" t="s">
        <v>68</v>
      </c>
      <c r="AJ11" s="466" t="s">
        <v>71</v>
      </c>
      <c r="AK11" s="466" t="s">
        <v>72</v>
      </c>
      <c r="AL11" s="466" t="s">
        <v>73</v>
      </c>
      <c r="AM11" s="467" t="s">
        <v>74</v>
      </c>
      <c r="AN11" s="468" t="s">
        <v>77</v>
      </c>
      <c r="AO11" s="467" t="s">
        <v>79</v>
      </c>
      <c r="AP11" s="469" t="s">
        <v>80</v>
      </c>
      <c r="AQ11" s="467" t="s">
        <v>197</v>
      </c>
      <c r="AR11" s="470" t="s">
        <v>199</v>
      </c>
    </row>
    <row r="12" spans="1:44" ht="19.05" customHeight="1">
      <c r="B12" s="173" t="s">
        <v>31</v>
      </c>
      <c r="C12" s="174" t="s">
        <v>59</v>
      </c>
      <c r="D12" s="174" t="s">
        <v>59</v>
      </c>
      <c r="E12" s="175" t="s">
        <v>14</v>
      </c>
      <c r="F12" s="175" t="s">
        <v>15</v>
      </c>
      <c r="G12" s="176" t="s">
        <v>18</v>
      </c>
      <c r="H12" s="176" t="s">
        <v>17</v>
      </c>
      <c r="I12" s="176" t="s">
        <v>19</v>
      </c>
      <c r="J12" s="176" t="s">
        <v>16</v>
      </c>
      <c r="K12" s="176" t="s">
        <v>61</v>
      </c>
      <c r="L12" s="177" t="s">
        <v>44</v>
      </c>
      <c r="M12" s="177" t="s">
        <v>44</v>
      </c>
      <c r="N12" s="177" t="s">
        <v>44</v>
      </c>
      <c r="O12" s="174" t="s">
        <v>47</v>
      </c>
      <c r="P12" s="174" t="s">
        <v>45</v>
      </c>
      <c r="Q12" s="174" t="s">
        <v>46</v>
      </c>
      <c r="R12" s="174" t="s">
        <v>22</v>
      </c>
      <c r="S12" s="174" t="s">
        <v>48</v>
      </c>
      <c r="T12" s="174" t="s">
        <v>49</v>
      </c>
      <c r="U12" s="178" t="s">
        <v>49</v>
      </c>
      <c r="X12" s="167" t="str">
        <f>B12</f>
        <v>ID No.</v>
      </c>
      <c r="Y12" s="72" t="str">
        <f>D12</f>
        <v>Flr No.</v>
      </c>
      <c r="Z12" s="73" t="s">
        <v>50</v>
      </c>
      <c r="AA12" s="73" t="s">
        <v>51</v>
      </c>
      <c r="AB12" s="73" t="s">
        <v>52</v>
      </c>
      <c r="AC12" s="73" t="s">
        <v>53</v>
      </c>
      <c r="AD12" s="73" t="s">
        <v>54</v>
      </c>
      <c r="AE12" s="73" t="s">
        <v>55</v>
      </c>
      <c r="AF12" s="74" t="s">
        <v>56</v>
      </c>
      <c r="AH12" s="471" t="s">
        <v>140</v>
      </c>
      <c r="AI12" s="159" t="s">
        <v>19</v>
      </c>
      <c r="AJ12" s="159" t="s">
        <v>19</v>
      </c>
      <c r="AK12" s="160" t="s">
        <v>86</v>
      </c>
      <c r="AL12" s="161" t="s">
        <v>87</v>
      </c>
      <c r="AM12" s="158" t="s">
        <v>75</v>
      </c>
      <c r="AN12" s="157" t="s">
        <v>78</v>
      </c>
      <c r="AO12" s="158" t="s">
        <v>75</v>
      </c>
      <c r="AP12" s="160" t="s">
        <v>81</v>
      </c>
      <c r="AQ12" s="158" t="s">
        <v>204</v>
      </c>
      <c r="AR12" s="472" t="s">
        <v>200</v>
      </c>
    </row>
    <row r="13" spans="1:44" ht="19.05" customHeight="1">
      <c r="B13" s="119">
        <f>'Input-Output'!AI6</f>
        <v>24</v>
      </c>
      <c r="C13" s="60">
        <f>'Input-Output'!AJ6</f>
        <v>2</v>
      </c>
      <c r="D13" s="603">
        <f>'Input-Output'!AK6</f>
        <v>101</v>
      </c>
      <c r="E13" s="65">
        <f>'Input-Output'!AL6</f>
        <v>1789</v>
      </c>
      <c r="F13" s="65">
        <f>'Input-Output'!AM6</f>
        <v>545.28719999999998</v>
      </c>
      <c r="G13" s="47">
        <f t="shared" ref="G13" si="1">IF(E13="XX","XX",((101325*(1-2.25577*(10^(-5))*F13)^5.2555)/1000))</f>
        <v>94.944016522576575</v>
      </c>
      <c r="H13" s="47">
        <f xml:space="preserve"> IF(E13="XX", "XX", G13*$AB$3)</f>
        <v>28.113401276383378</v>
      </c>
      <c r="I13" s="47">
        <f>IF(E13="XX", "XX", G13*$AD$3)</f>
        <v>381.53877523187714</v>
      </c>
      <c r="J13" s="47">
        <f xml:space="preserve"> IF(E13="XX", "XX",G13*$AF$3)</f>
        <v>13.770459961271531</v>
      </c>
      <c r="K13" s="47">
        <f xml:space="preserve"> IF(E13="XX", "XX", ( $K$65 + $U$4 * (E13-$D$4)/$F$4 ) )</f>
        <v>9.9236058059587471</v>
      </c>
      <c r="L13" s="48">
        <f xml:space="preserve"> IF(E13="XX", "XX", $L$65 - 0.00356*(E13-$E$65))</f>
        <v>90.411159999999995</v>
      </c>
      <c r="M13" s="48">
        <f>IF(E13="XX","XX ", $M$65-0.00356*(E13-$E$65))</f>
        <v>70.411159999999995</v>
      </c>
      <c r="N13" s="49">
        <f>IF(E13="XX","XX",100.45+33.193*AE13+2.319*AE13^2+0.17074*AE13^3+1.2063*(AD13*0.4897705)^3)</f>
        <v>60.639141869272592</v>
      </c>
      <c r="O13" s="50">
        <f>IF(E13="XX","XX ",((1093-0.556*M13)*AA13-0.24*(L13-M13))/(1093+0.444*L13-M13))</f>
        <v>1.2455688718168597E-2</v>
      </c>
      <c r="P13" s="51">
        <f xml:space="preserve"> IF(E13="XX", "XX", ((O13/AF13)/(1-(1-(O13/AF13))*(AB13/J13)))*100)</f>
        <v>38.151973923743668</v>
      </c>
      <c r="Q13" s="52">
        <f xml:space="preserve"> IF(E13="XX", "XX", 0.7543*(T13*(1+1.6078*O13))/H13)</f>
        <v>15.055407768589667</v>
      </c>
      <c r="R13" s="53">
        <f xml:space="preserve"> IF(E13="XX", "XX", 1/Q13)</f>
        <v>6.642131620548436E-2</v>
      </c>
      <c r="S13" s="67">
        <f>IF(E13="XX", "XX", 0.24*L13+O13*(1061+0.444*L13))</f>
        <v>35.414167299907071</v>
      </c>
      <c r="T13" s="54">
        <f>IF(E13="XX", "XX", L13+459.7)</f>
        <v>550.11115999999993</v>
      </c>
      <c r="U13" s="99">
        <f>IF(E13="XX", "XX", M13+459.7)</f>
        <v>530.11115999999993</v>
      </c>
      <c r="X13" s="147">
        <f>B13</f>
        <v>24</v>
      </c>
      <c r="Y13" s="34">
        <f>D13</f>
        <v>101</v>
      </c>
      <c r="Z13" s="41">
        <f xml:space="preserve"> IF(E13="XX", "XX", EXP((-10440.397/U13)+(-11.29465) + (-0.027022355*U13) + (0.00001289036*U13*U13) + (-0.0000000024780681*U13^3)+(6.5459673*LN(U13))) )</f>
        <v>0.36878134856005262</v>
      </c>
      <c r="AA13" s="39">
        <f>IF(E13="XX", "XX", 0.62198*Z13/(J13-Z13))</f>
        <v>1.7115365157303497E-2</v>
      </c>
      <c r="AB13" s="41">
        <f xml:space="preserve"> IF(E13="XX", "XX", EXP((-10440.397/T13)+(-11.29465) + (-0.027022355*T13) + (0.00001289036*T13*T13) + (-0.0000000024780681*T13^3)+(6.5459673*LN(T13))) )</f>
        <v>0.70861701330667337</v>
      </c>
      <c r="AC13" s="39">
        <f>IF(E13="XX", "XX", AB13*2.041772658 )</f>
        <v>1.4468348427631881</v>
      </c>
      <c r="AD13" s="39">
        <f>IF(E13="XX", "XX", (H13*O13)/(0.62198+O13))</f>
        <v>0.55194211380997782</v>
      </c>
      <c r="AE13" s="39">
        <f>IF(E13="XX", "XX", LN(AD13*0.4897705))</f>
        <v>-1.3081304694328169</v>
      </c>
      <c r="AF13" s="140">
        <f>IF(E13="XX", "XX", 0.62198*(AB13/(J13-AB13)))</f>
        <v>3.3742988006539805E-2</v>
      </c>
      <c r="AH13" s="473">
        <f xml:space="preserve"> IF(D13="XX", "XX", E13- $D$4)</f>
        <v>1289</v>
      </c>
      <c r="AI13" s="154">
        <f xml:space="preserve"> IF(D13="XX", "XX", $AN$3 * R13 * (T13-$T$7)/$T$7 * $AP$3 * ($H$4-AH13))</f>
        <v>-2.3367728273818566E-2</v>
      </c>
      <c r="AJ13" s="154">
        <f xml:space="preserve"> IF(D13="XX", "XX", $AR$3 * $AN$4^2 * $AR$4 * R13 * K13^2/2)</f>
        <v>4.4217397964284728E-4</v>
      </c>
      <c r="AK13" s="154">
        <f xml:space="preserve"> IF(D13="XX", "XX", AI13 +AJ13)</f>
        <v>-2.2925554294175719E-2</v>
      </c>
      <c r="AL13" s="154">
        <f xml:space="preserve"> IF(D13="XX", "XX", AK13 +$AK$10)</f>
        <v>-1.7925554294175718E-2</v>
      </c>
      <c r="AM13" s="26">
        <f xml:space="preserve"> IF(D13="XX", "XX", 60 * ($AP$4 * $AN$10 * (2 * ABS(AL13)/R13)^0.5))</f>
        <v>722.04240462551456</v>
      </c>
      <c r="AN13" s="27" t="str">
        <f>IF(D13="XX", "XX", IF(AL13&lt;0, "Exfl", "Infl"))</f>
        <v>Exfl</v>
      </c>
      <c r="AO13" s="26">
        <f xml:space="preserve"> IF(AN13="Infl", -AM13, AM13)</f>
        <v>722.04240462551456</v>
      </c>
      <c r="AP13" s="474">
        <f>IF(D13="XX", "XX", AO13/$K$10)</f>
        <v>8.5957429122085066E-2</v>
      </c>
      <c r="AQ13" s="26">
        <f>IF(D13="XX", "XX", AO13*1.08*(L13-$L$8))</f>
        <v>12017.711906426026</v>
      </c>
      <c r="AR13" s="392">
        <f xml:space="preserve"> IF(D13="XX", "XX", AO13 * 1.08 * $AM$5/1000)</f>
        <v>2089.8795359480891</v>
      </c>
    </row>
    <row r="14" spans="1:44" ht="19.05" customHeight="1" thickBot="1">
      <c r="B14" s="120">
        <f>'Input-Output'!AI7</f>
        <v>23</v>
      </c>
      <c r="C14" s="121">
        <f>'Input-Output'!AJ7</f>
        <v>1</v>
      </c>
      <c r="D14" s="604">
        <f>'Input-Output'!AK7</f>
        <v>100</v>
      </c>
      <c r="E14" s="122">
        <f>'Input-Output'!AL7</f>
        <v>1774</v>
      </c>
      <c r="F14" s="122">
        <f>'Input-Output'!AM7</f>
        <v>540.71519999999998</v>
      </c>
      <c r="G14" s="103">
        <f t="shared" ref="G14" si="2">IF(E14="XX","XX",((101325*(1-2.25577*(10^(-5))*F14)^5.2555)/1000))</f>
        <v>94.996130509782816</v>
      </c>
      <c r="H14" s="103">
        <f xml:space="preserve"> IF(E14="XX", "XX", G14*$AB$3)</f>
        <v>28.128832490356647</v>
      </c>
      <c r="I14" s="103">
        <f>IF(E14="XX", "XX", G14*$AD$3)</f>
        <v>381.74819871720433</v>
      </c>
      <c r="J14" s="103">
        <f xml:space="preserve"> IF(E14="XX", "XX",G14*$AF$3)</f>
        <v>13.778018453112617</v>
      </c>
      <c r="K14" s="103">
        <f xml:space="preserve"> IF(E14="XX", "XX", ( $K$65 + $U$4 * (E14-$D$4)/$F$4 ) )</f>
        <v>9.8663101604278083</v>
      </c>
      <c r="L14" s="123">
        <f xml:space="preserve"> IF(E14="XX", "XX", $L$65 - 0.00356*(E14-$E$65))</f>
        <v>90.464560000000006</v>
      </c>
      <c r="M14" s="123">
        <f>IF(E14="XX","XX ", $M$65-0.00356*(E14-$E$65))</f>
        <v>70.464560000000006</v>
      </c>
      <c r="N14" s="124">
        <f>IF(E14="XX","XX",100.45+33.193*AE14+2.319*AE14^2+0.17074*AE14^3+1.2063*(AD14*0.4897705)^3)</f>
        <v>60.703182202434846</v>
      </c>
      <c r="O14" s="125">
        <f>IF(E14="XX","XX ",((1093-0.556*M14)*AA14-0.24*(L14-M14))/(1093+0.444*L14-M14))</f>
        <v>1.2477714692777841E-2</v>
      </c>
      <c r="P14" s="126">
        <f xml:space="preserve"> IF(E14="XX", "XX", ((O14/AF14)/(1-(1-(O14/AF14))*(AB14/J14)))*100)</f>
        <v>38.175218566038239</v>
      </c>
      <c r="Q14" s="127">
        <f xml:space="preserve"> IF(E14="XX", "XX", 0.7543*(T14*(1+1.6078*O14))/H14)</f>
        <v>15.049131618002704</v>
      </c>
      <c r="R14" s="128">
        <f xml:space="preserve"> IF(E14="XX", "XX", 1/Q14)</f>
        <v>6.6449016819265377E-2</v>
      </c>
      <c r="S14" s="129">
        <f>IF(E14="XX", "XX", 0.24*L14+O14*(1061+0.444*L14))</f>
        <v>35.451532879489818</v>
      </c>
      <c r="T14" s="130">
        <f>IF(E14="XX", "XX", L14+459.7)</f>
        <v>550.16455999999994</v>
      </c>
      <c r="U14" s="131">
        <f>IF(E14="XX", "XX", M14+459.7)</f>
        <v>530.16455999999994</v>
      </c>
      <c r="X14" s="148">
        <f>B14</f>
        <v>23</v>
      </c>
      <c r="Y14" s="128">
        <f>D14</f>
        <v>100</v>
      </c>
      <c r="Z14" s="125">
        <f xml:space="preserve"> IF(E14="XX", "XX", EXP((-10440.397/U14)+(-11.29465) + (-0.027022355*U14) + (0.00001289036*U14*U14) + (-0.0000000024780681*U14^3)+(6.5459673*LN(U14))) )</f>
        <v>0.36945253482109924</v>
      </c>
      <c r="AA14" s="142">
        <f>IF(E14="XX", "XX", 0.62198*Z14/(J14-Z14))</f>
        <v>1.7137708015034822E-2</v>
      </c>
      <c r="AB14" s="125">
        <f xml:space="preserve"> IF(E14="XX", "XX", EXP((-10440.397/T14)+(-11.29465) + (-0.027022355*T14) + (0.00001289036*T14*T14) + (-0.0000000024780681*T14^3)+(6.5459673*LN(T14))) )</f>
        <v>0.70980262056493959</v>
      </c>
      <c r="AC14" s="142">
        <f>IF(E14="XX", "XX", AB14*2.041772658 )</f>
        <v>1.4492555832462424</v>
      </c>
      <c r="AD14" s="142">
        <f>IF(E14="XX", "XX", (H14*O14)/(0.62198+O14))</f>
        <v>0.55320242520112772</v>
      </c>
      <c r="AE14" s="142">
        <f>IF(E14="XX", "XX", LN(AD14*0.4897705))</f>
        <v>-1.3058496601938152</v>
      </c>
      <c r="AF14" s="149">
        <f>IF(E14="XX", "XX", 0.62198*(AB14/(J14-AB14)))</f>
        <v>3.3782961622000778E-2</v>
      </c>
      <c r="AH14" s="475">
        <f xml:space="preserve"> IF(D14="XX", "XX", E14- $D$4)</f>
        <v>1274</v>
      </c>
      <c r="AI14" s="1">
        <f xml:space="preserve"> IF(D14="XX", "XX", $AN$3 * R14 * (T14-$T$7)/$T$7 * $AP$3 * ($H$4-AH14))</f>
        <v>-2.2903903166649767E-2</v>
      </c>
      <c r="AJ14" s="1">
        <f xml:space="preserve"> IF(D14="XX", "XX", $AR$3 * $AN$4^2 * $AR$4 * R14 * K14^2/2)</f>
        <v>4.3726506730893983E-4</v>
      </c>
      <c r="AK14" s="1">
        <f xml:space="preserve"> IF(D14="XX", "XX", AI14 +AJ14)</f>
        <v>-2.2466638099340828E-2</v>
      </c>
      <c r="AL14" s="1">
        <f xml:space="preserve"> IF(D14="XX", "XX", AK14 +$AK$10)</f>
        <v>-1.7466638099340827E-2</v>
      </c>
      <c r="AM14" s="28">
        <f xml:space="preserve"> IF(D14="XX", "XX", 60 * ($AP$4 * $AN$10 * (2 * ABS(AL14)/R14)^0.5))</f>
        <v>712.59131822679126</v>
      </c>
      <c r="AN14" s="29" t="str">
        <f>IF(D14="XX", "XX", IF(AL14&lt;0, "Exfl", "Infl"))</f>
        <v>Exfl</v>
      </c>
      <c r="AO14" s="28">
        <f xml:space="preserve"> IF(AN14="Infl", -AM14, AM14)</f>
        <v>712.59131822679126</v>
      </c>
      <c r="AP14" s="476">
        <f>IF(D14="XX", "XX", AO14/$K$10)</f>
        <v>8.483229978890372E-2</v>
      </c>
      <c r="AQ14" s="28">
        <f>IF(D14="XX", "XX", AO14*1.08*(L14-$L$8))</f>
        <v>11901.504091893097</v>
      </c>
      <c r="AR14" s="397">
        <f xml:space="preserve"> IF(D14="XX", "XX", AO14 * 1.08 * 3000/1000)</f>
        <v>2308.7958710548041</v>
      </c>
    </row>
    <row r="15" spans="1:44" ht="19.05" customHeight="1">
      <c r="B15" s="13"/>
      <c r="C15" s="13"/>
      <c r="D15" s="13"/>
      <c r="E15" s="13"/>
      <c r="F15" s="23"/>
      <c r="G15" s="14"/>
      <c r="H15" s="14"/>
      <c r="I15" s="14"/>
      <c r="J15" s="14"/>
      <c r="K15" s="14"/>
      <c r="L15" s="9"/>
      <c r="M15" s="9"/>
      <c r="N15" s="18"/>
      <c r="O15" s="19"/>
      <c r="P15" s="20"/>
      <c r="Q15" s="21"/>
      <c r="R15" s="10"/>
      <c r="S15" s="56"/>
      <c r="T15" s="22"/>
      <c r="U15" s="22"/>
      <c r="Z15" s="19"/>
      <c r="AA15" s="15"/>
      <c r="AB15" s="19"/>
      <c r="AC15" s="15"/>
      <c r="AD15" s="15"/>
      <c r="AE15" s="15"/>
      <c r="AF15" s="19"/>
      <c r="AH15" s="58"/>
      <c r="AI15" s="151"/>
      <c r="AJ15" s="151"/>
      <c r="AK15" s="151"/>
      <c r="AL15" s="151"/>
      <c r="AM15" s="153"/>
      <c r="AN15" s="16"/>
      <c r="AO15" s="153"/>
      <c r="AP15" s="152"/>
      <c r="AQ15" s="153"/>
      <c r="AR15" s="153"/>
    </row>
    <row r="16" spans="1:44" ht="19.05" customHeight="1" thickBot="1">
      <c r="B16" s="66">
        <f>'Input-Output'!AK8</f>
        <v>7</v>
      </c>
      <c r="E16" s="13" t="s">
        <v>121</v>
      </c>
      <c r="F16" s="23"/>
      <c r="G16" s="115">
        <f>'Input-Output'!AF22</f>
        <v>15</v>
      </c>
      <c r="H16" s="435" t="s">
        <v>122</v>
      </c>
      <c r="I16" s="436"/>
      <c r="J16" s="436"/>
      <c r="K16" s="116">
        <f>'Input-Output'!AF32</f>
        <v>5600</v>
      </c>
      <c r="L16" s="61" t="s">
        <v>125</v>
      </c>
      <c r="M16" s="56"/>
      <c r="N16" s="117">
        <f>'Input-Output'!AF24</f>
        <v>0.4</v>
      </c>
      <c r="O16" s="62" t="s">
        <v>123</v>
      </c>
      <c r="P16" s="19"/>
      <c r="Q16" s="117">
        <f>'Input-Output'!AF25</f>
        <v>0.6</v>
      </c>
      <c r="R16" s="68" t="s">
        <v>124</v>
      </c>
      <c r="S16" s="15"/>
      <c r="T16" s="15"/>
      <c r="U16" s="118">
        <f>'Input-Output'!AF26</f>
        <v>5.0000000000000001E-3</v>
      </c>
      <c r="X16" s="75">
        <f t="shared" ref="X16:X21" si="3">B16</f>
        <v>7</v>
      </c>
      <c r="Z16" s="61" t="s">
        <v>125</v>
      </c>
      <c r="AA16" s="56"/>
      <c r="AB16" s="117">
        <f>'Input-Output'!AF24</f>
        <v>0.4</v>
      </c>
      <c r="AC16" s="62" t="s">
        <v>123</v>
      </c>
      <c r="AD16" s="19"/>
      <c r="AE16" s="117">
        <f>'Input-Output'!AF25</f>
        <v>0.6</v>
      </c>
      <c r="AH16" s="68" t="s">
        <v>124</v>
      </c>
      <c r="AK16" s="118">
        <f>'Input-Output'!AF26</f>
        <v>5.0000000000000001E-3</v>
      </c>
      <c r="AL16" s="180" t="s">
        <v>141</v>
      </c>
      <c r="AM16" s="151"/>
      <c r="AN16" s="155">
        <f>'Input-Output'!AF33</f>
        <v>22.400000000000002</v>
      </c>
      <c r="AO16" s="180" t="s">
        <v>222</v>
      </c>
      <c r="AP16" s="152"/>
      <c r="AR16" s="155">
        <f>SUM(AR19:AR21)/12</f>
        <v>305.24810946546495</v>
      </c>
    </row>
    <row r="17" spans="2:44" ht="19.05" customHeight="1">
      <c r="B17" s="162" t="s">
        <v>58</v>
      </c>
      <c r="C17" s="168" t="s">
        <v>118</v>
      </c>
      <c r="D17" s="163" t="s">
        <v>117</v>
      </c>
      <c r="E17" s="169" t="s">
        <v>66</v>
      </c>
      <c r="F17" s="163"/>
      <c r="G17" s="170" t="s">
        <v>57</v>
      </c>
      <c r="H17" s="171"/>
      <c r="I17" s="171"/>
      <c r="J17" s="171"/>
      <c r="K17" s="171" t="s">
        <v>60</v>
      </c>
      <c r="L17" s="172" t="s">
        <v>20</v>
      </c>
      <c r="M17" s="172" t="s">
        <v>21</v>
      </c>
      <c r="N17" s="172" t="s">
        <v>36</v>
      </c>
      <c r="O17" s="145" t="s">
        <v>40</v>
      </c>
      <c r="P17" s="145" t="s">
        <v>37</v>
      </c>
      <c r="Q17" s="145" t="s">
        <v>38</v>
      </c>
      <c r="R17" s="145" t="s">
        <v>39</v>
      </c>
      <c r="S17" s="145" t="s">
        <v>41</v>
      </c>
      <c r="T17" s="145" t="s">
        <v>42</v>
      </c>
      <c r="U17" s="146" t="s">
        <v>43</v>
      </c>
      <c r="X17" s="166" t="str">
        <f t="shared" si="3"/>
        <v>Level</v>
      </c>
      <c r="Y17" s="163" t="str">
        <f>D17</f>
        <v>Bldg</v>
      </c>
      <c r="Z17" s="164" t="s">
        <v>142</v>
      </c>
      <c r="AA17" s="145"/>
      <c r="AB17" s="145"/>
      <c r="AC17" s="145"/>
      <c r="AD17" s="145"/>
      <c r="AE17" s="145"/>
      <c r="AF17" s="146"/>
      <c r="AH17" s="465" t="s">
        <v>76</v>
      </c>
      <c r="AI17" s="466" t="s">
        <v>68</v>
      </c>
      <c r="AJ17" s="466" t="s">
        <v>71</v>
      </c>
      <c r="AK17" s="466" t="s">
        <v>72</v>
      </c>
      <c r="AL17" s="466" t="s">
        <v>73</v>
      </c>
      <c r="AM17" s="467" t="s">
        <v>74</v>
      </c>
      <c r="AN17" s="468" t="s">
        <v>77</v>
      </c>
      <c r="AO17" s="467" t="s">
        <v>79</v>
      </c>
      <c r="AP17" s="469" t="s">
        <v>80</v>
      </c>
      <c r="AQ17" s="467" t="s">
        <v>197</v>
      </c>
      <c r="AR17" s="470" t="s">
        <v>199</v>
      </c>
    </row>
    <row r="18" spans="2:44" ht="19.05" customHeight="1">
      <c r="B18" s="173" t="s">
        <v>31</v>
      </c>
      <c r="C18" s="174" t="s">
        <v>59</v>
      </c>
      <c r="D18" s="174" t="s">
        <v>59</v>
      </c>
      <c r="E18" s="175" t="s">
        <v>14</v>
      </c>
      <c r="F18" s="175" t="s">
        <v>15</v>
      </c>
      <c r="G18" s="176" t="s">
        <v>18</v>
      </c>
      <c r="H18" s="176" t="s">
        <v>17</v>
      </c>
      <c r="I18" s="176" t="s">
        <v>19</v>
      </c>
      <c r="J18" s="176" t="s">
        <v>16</v>
      </c>
      <c r="K18" s="176" t="s">
        <v>61</v>
      </c>
      <c r="L18" s="177" t="s">
        <v>44</v>
      </c>
      <c r="M18" s="177" t="s">
        <v>44</v>
      </c>
      <c r="N18" s="177" t="s">
        <v>44</v>
      </c>
      <c r="O18" s="174" t="s">
        <v>47</v>
      </c>
      <c r="P18" s="174" t="s">
        <v>45</v>
      </c>
      <c r="Q18" s="174" t="s">
        <v>46</v>
      </c>
      <c r="R18" s="174" t="s">
        <v>22</v>
      </c>
      <c r="S18" s="174" t="s">
        <v>48</v>
      </c>
      <c r="T18" s="174" t="s">
        <v>49</v>
      </c>
      <c r="U18" s="178" t="s">
        <v>49</v>
      </c>
      <c r="X18" s="167" t="str">
        <f t="shared" si="3"/>
        <v>ID No.</v>
      </c>
      <c r="Y18" s="72" t="str">
        <f>D18</f>
        <v>Flr No.</v>
      </c>
      <c r="Z18" s="73" t="s">
        <v>50</v>
      </c>
      <c r="AA18" s="73" t="s">
        <v>51</v>
      </c>
      <c r="AB18" s="73" t="s">
        <v>52</v>
      </c>
      <c r="AC18" s="73" t="s">
        <v>53</v>
      </c>
      <c r="AD18" s="73" t="s">
        <v>54</v>
      </c>
      <c r="AE18" s="73" t="s">
        <v>55</v>
      </c>
      <c r="AF18" s="74" t="s">
        <v>56</v>
      </c>
      <c r="AH18" s="471" t="s">
        <v>140</v>
      </c>
      <c r="AI18" s="159" t="s">
        <v>19</v>
      </c>
      <c r="AJ18" s="159" t="s">
        <v>19</v>
      </c>
      <c r="AK18" s="160" t="s">
        <v>86</v>
      </c>
      <c r="AL18" s="161" t="s">
        <v>87</v>
      </c>
      <c r="AM18" s="158" t="s">
        <v>75</v>
      </c>
      <c r="AN18" s="157" t="s">
        <v>78</v>
      </c>
      <c r="AO18" s="158" t="s">
        <v>75</v>
      </c>
      <c r="AP18" s="160" t="s">
        <v>81</v>
      </c>
      <c r="AQ18" s="158" t="s">
        <v>204</v>
      </c>
      <c r="AR18" s="472" t="s">
        <v>200</v>
      </c>
    </row>
    <row r="19" spans="2:44" ht="19.05" customHeight="1">
      <c r="B19" s="132">
        <f>'Input-Output'!AI9</f>
        <v>22</v>
      </c>
      <c r="C19" s="37">
        <f>'Input-Output'!AJ9</f>
        <v>0</v>
      </c>
      <c r="D19" s="605" t="str">
        <f>'Input-Output'!AK9</f>
        <v>XX</v>
      </c>
      <c r="E19" s="45" t="str">
        <f>'Input-Output'!AL9</f>
        <v>XX</v>
      </c>
      <c r="F19" s="45" t="str">
        <f>'Input-Output'!AM9</f>
        <v>XX</v>
      </c>
      <c r="G19" s="38" t="str">
        <f t="shared" ref="G19:G21" si="4">IF(E19="XX","XX",((101325*(1-2.25577*(10^(-5))*F19)^5.2555)/1000))</f>
        <v>XX</v>
      </c>
      <c r="H19" s="38" t="str">
        <f xml:space="preserve"> IF(E19="XX", "XX", G19*$AB$3)</f>
        <v>XX</v>
      </c>
      <c r="I19" s="38" t="str">
        <f>IF(E19="XX", "XX", G19*$AD$3)</f>
        <v>XX</v>
      </c>
      <c r="J19" s="38" t="str">
        <f xml:space="preserve"> IF(E19="XX", "XX",G19*$AF$3)</f>
        <v>XX</v>
      </c>
      <c r="K19" s="38" t="str">
        <f xml:space="preserve"> IF(E19="XX", "XX", ( $K$65 + $U$4 * (E19-$D$4)/$F$4 ) )</f>
        <v>XX</v>
      </c>
      <c r="L19" s="33" t="str">
        <f xml:space="preserve"> IF(E19="XX", "XX", $L$65 - 0.00356*(E19-$E$65))</f>
        <v>XX</v>
      </c>
      <c r="M19" s="33" t="str">
        <f>IF(E19="XX","XX ", $M$65-0.00356*(E19-$E$65))</f>
        <v xml:space="preserve">XX </v>
      </c>
      <c r="N19" s="40" t="str">
        <f>IF(E19="XX","XX",100.45+33.193*AE19+2.319*AE19^2+0.17074*AE19^3+1.2063*(AD19*0.4897705)^3)</f>
        <v>XX</v>
      </c>
      <c r="O19" s="41" t="str">
        <f>IF(E19="XX","XX ",((1093-0.556*M19)*AA19-0.24*(L19-M19))/(1093+0.444*L19-M19))</f>
        <v xml:space="preserve">XX </v>
      </c>
      <c r="P19" s="42" t="str">
        <f xml:space="preserve"> IF(E19="XX", "XX", ((O19/AF19)/(1-(1-(O19/AF19))*(AB19/J19)))*100)</f>
        <v>XX</v>
      </c>
      <c r="Q19" s="43" t="str">
        <f xml:space="preserve"> IF(E19="XX", "XX", 0.7543*(T19*(1+1.6078*O19))/H19)</f>
        <v>XX</v>
      </c>
      <c r="R19" s="34" t="str">
        <f xml:space="preserve"> IF(E19="XX", "XX", 1/Q19)</f>
        <v>XX</v>
      </c>
      <c r="S19" s="57" t="str">
        <f>IF(E19="XX", "XX", 0.24*L19+O19*(1061+0.444*L19))</f>
        <v>XX</v>
      </c>
      <c r="T19" s="44" t="str">
        <f>IF(E19="XX", "XX", L19+459.7)</f>
        <v>XX</v>
      </c>
      <c r="U19" s="133" t="str">
        <f>IF(E19="XX", "XX", M19+459.7)</f>
        <v>XX</v>
      </c>
      <c r="X19" s="147">
        <f t="shared" si="3"/>
        <v>22</v>
      </c>
      <c r="Y19" s="34" t="str">
        <f>D19</f>
        <v>XX</v>
      </c>
      <c r="Z19" s="41" t="str">
        <f xml:space="preserve"> IF(E19="XX", "XX", EXP((-10440.397/U19)+(-11.29465) + (-0.027022355*U19) + (0.00001289036*U19*U19) + (-0.0000000024780681*U19^3)+(6.5459673*LN(U19))) )</f>
        <v>XX</v>
      </c>
      <c r="AA19" s="39" t="str">
        <f>IF(E19="XX", "XX", 0.62198*Z19/(J19-Z19))</f>
        <v>XX</v>
      </c>
      <c r="AB19" s="41" t="str">
        <f xml:space="preserve"> IF(E19="XX", "XX", EXP((-10440.397/T19)+(-11.29465) + (-0.027022355*T19) + (0.00001289036*T19*T19) + (-0.0000000024780681*T19^3)+(6.5459673*LN(T19))) )</f>
        <v>XX</v>
      </c>
      <c r="AC19" s="39" t="str">
        <f>IF(E19="XX", "XX", AB19*2.041772658 )</f>
        <v>XX</v>
      </c>
      <c r="AD19" s="39" t="str">
        <f>IF(E19="XX", "XX", (H19*O19)/(0.62198+O19))</f>
        <v>XX</v>
      </c>
      <c r="AE19" s="39" t="str">
        <f>IF(E19="XX", "XX", LN(AD19*0.4897705))</f>
        <v>XX</v>
      </c>
      <c r="AF19" s="140" t="str">
        <f>IF(E19="XX", "XX", 0.62198*(AB19/(J19-AB19)))</f>
        <v>XX</v>
      </c>
      <c r="AH19" s="473" t="str">
        <f xml:space="preserve"> IF(D19="XX", "XX", E19- $D$4)</f>
        <v>XX</v>
      </c>
      <c r="AI19" s="154" t="str">
        <f xml:space="preserve"> IF(D19="XX", "XX", $AN$3 * R19 * (T19-$T$7)/$T$7 * $AP$3 * ($H$4-AH19))</f>
        <v>XX</v>
      </c>
      <c r="AJ19" s="154" t="str">
        <f xml:space="preserve"> IF(D19="XX", "XX", $AR$3 * $AN$4^2 * $AR$4 * R19 * K19^2/2)</f>
        <v>XX</v>
      </c>
      <c r="AK19" s="154" t="str">
        <f xml:space="preserve"> IF(D19="XX", "XX", AI19 +AJ19)</f>
        <v>XX</v>
      </c>
      <c r="AL19" s="154" t="str">
        <f xml:space="preserve"> IF(D19="XX", "XX", AK19 +$AK$16)</f>
        <v>XX</v>
      </c>
      <c r="AM19" s="26" t="str">
        <f xml:space="preserve"> IF(D19="XX", "XX", 60 * ($AP$4 * $AN$16 * (2 * ABS(AL19)/R19)^0.5))</f>
        <v>XX</v>
      </c>
      <c r="AN19" s="27" t="str">
        <f>IF(D19="XX", "XX", IF(AL19&lt;0, "Exfl", "Infl"))</f>
        <v>XX</v>
      </c>
      <c r="AO19" s="26" t="str">
        <f t="shared" ref="AO19:AO21" si="5" xml:space="preserve"> IF(AN19="Infl", -AM19, AM19)</f>
        <v>XX</v>
      </c>
      <c r="AP19" s="474" t="str">
        <f>IF(D19="XX", "XX", AO19/$K$10)</f>
        <v>XX</v>
      </c>
      <c r="AQ19" s="26" t="str">
        <f t="shared" ref="AQ19:AQ21" si="6">IF(D19="XX", "XX", AO19*1.08*(L19-$L$8))</f>
        <v>XX</v>
      </c>
      <c r="AR19" s="392" t="str">
        <f xml:space="preserve"> IF(D19="XX", "XX", AO19 * 1.08 * 3000/1000)</f>
        <v>XX</v>
      </c>
    </row>
    <row r="20" spans="2:44" ht="19.05" customHeight="1">
      <c r="B20" s="132">
        <f>'Input-Output'!AI10</f>
        <v>21</v>
      </c>
      <c r="C20" s="37">
        <f>'Input-Output'!AJ10</f>
        <v>10</v>
      </c>
      <c r="D20" s="605">
        <f>'Input-Output'!AK10</f>
        <v>93</v>
      </c>
      <c r="E20" s="45">
        <f>'Input-Output'!AL10</f>
        <v>1689</v>
      </c>
      <c r="F20" s="45">
        <f>'Input-Output'!AM10</f>
        <v>514.80720000000008</v>
      </c>
      <c r="G20" s="38">
        <f t="shared" si="4"/>
        <v>95.291880795597251</v>
      </c>
      <c r="H20" s="38">
        <f xml:space="preserve"> IF(E20="XX", "XX", G20*$AB$3)</f>
        <v>28.216405638904973</v>
      </c>
      <c r="I20" s="38">
        <f>IF(E20="XX", "XX", G20*$AD$3)</f>
        <v>382.93669069339205</v>
      </c>
      <c r="J20" s="38">
        <f xml:space="preserve"> IF(E20="XX", "XX",G20*$AF$3)</f>
        <v>13.820913388659964</v>
      </c>
      <c r="K20" s="38">
        <f xml:space="preserve"> IF(E20="XX", "XX", ( $K$65 + $U$4 * (E20-$D$4)/$F$4 ) )</f>
        <v>9.5416348357524825</v>
      </c>
      <c r="L20" s="33">
        <f xml:space="preserve"> IF(E20="XX", "XX", $L$65 - 0.00356*(E20-$E$65))</f>
        <v>90.767160000000004</v>
      </c>
      <c r="M20" s="33">
        <f>IF(E20="XX","XX ", $M$65-0.00356*(E20-$E$65))</f>
        <v>70.767160000000004</v>
      </c>
      <c r="N20" s="40">
        <f>IF(E20="XX","XX",100.45+33.193*AE20+2.319*AE20^2+0.17074*AE20^3+1.2063*(AD20*0.4897705)^3)</f>
        <v>61.065716472750694</v>
      </c>
      <c r="O20" s="41">
        <f>IF(E20="XX","XX ",((1093-0.556*M20)*AA20-0.24*(L20-M20))/(1093+0.444*L20-M20))</f>
        <v>1.260297163126306E-2</v>
      </c>
      <c r="P20" s="42">
        <f xml:space="preserve"> IF(E20="XX", "XX", ((O20/AF20)/(1-(1-(O20/AF20))*(AB20/J20)))*100)</f>
        <v>38.30650994612563</v>
      </c>
      <c r="Q20" s="43">
        <f xml:space="preserve"> IF(E20="XX", "XX", 0.7543*(T20*(1+1.6078*O20))/H20)</f>
        <v>15.013639864361998</v>
      </c>
      <c r="R20" s="34">
        <f xml:space="preserve"> IF(E20="XX", "XX", 1/Q20)</f>
        <v>6.6606100121910358E-2</v>
      </c>
      <c r="S20" s="57">
        <f>IF(E20="XX", "XX", 0.24*L20+O20*(1061+0.444*L20))</f>
        <v>35.663778859253568</v>
      </c>
      <c r="T20" s="44">
        <f>IF(E20="XX", "XX", L20+459.7)</f>
        <v>550.46716000000004</v>
      </c>
      <c r="U20" s="133">
        <f>IF(E20="XX", "XX", M20+459.7)</f>
        <v>530.46716000000004</v>
      </c>
      <c r="X20" s="147">
        <f t="shared" si="3"/>
        <v>21</v>
      </c>
      <c r="Y20" s="34">
        <f>D20</f>
        <v>93</v>
      </c>
      <c r="Z20" s="41">
        <f xml:space="preserve"> IF(E20="XX", "XX", EXP((-10440.397/U20)+(-11.29465) + (-0.027022355*U20) + (0.00001289036*U20*U20) + (-0.0000000024780681*U20^3)+(6.5459673*LN(U20))) )</f>
        <v>0.37327613884131283</v>
      </c>
      <c r="AA20" s="39">
        <f>IF(E20="XX", "XX", 0.62198*Z20/(J20-Z20))</f>
        <v>1.7264764696091922E-2</v>
      </c>
      <c r="AB20" s="41">
        <f xml:space="preserve"> IF(E20="XX", "XX", EXP((-10440.397/T20)+(-11.29465) + (-0.027022355*T20) + (0.00001289036*T20*T20) + (-0.0000000024780681*T20^3)+(6.5459673*LN(T20))) )</f>
        <v>0.71655363616950207</v>
      </c>
      <c r="AC20" s="39">
        <f>IF(E20="XX", "XX", AB20*2.041772658 )</f>
        <v>1.4630396223213693</v>
      </c>
      <c r="AD20" s="39">
        <f>IF(E20="XX", "XX", (H20*O20)/(0.62198+O20))</f>
        <v>0.56038465527871895</v>
      </c>
      <c r="AE20" s="39">
        <f>IF(E20="XX", "XX", LN(AD20*0.4897705))</f>
        <v>-1.2929502115664449</v>
      </c>
      <c r="AF20" s="140">
        <f>IF(E20="XX", "XX", 0.62198*(AB20/(J20-AB20)))</f>
        <v>3.4010210269143887E-2</v>
      </c>
      <c r="AH20" s="473">
        <f xml:space="preserve"> IF(D20="XX", "XX", E20- $D$4)</f>
        <v>1189</v>
      </c>
      <c r="AI20" s="154">
        <f xml:space="preserve"> IF(D20="XX", "XX", $AN$3 * R20 * (T20-$T$7)/$T$7 * $AP$3 * ($H$4-AH20))</f>
        <v>-2.0195622813047338E-2</v>
      </c>
      <c r="AJ20" s="154">
        <f xml:space="preserve"> IF(D20="XX", "XX", $AR$3 * $AN$4^2 * $AR$4 * R20 * K20^2/2)</f>
        <v>4.0992677462011828E-4</v>
      </c>
      <c r="AK20" s="154">
        <f xml:space="preserve"> IF(D20="XX", "XX", AI20 +AJ20)</f>
        <v>-1.9785696038427218E-2</v>
      </c>
      <c r="AL20" s="154">
        <f xml:space="preserve"> IF(D20="XX", "XX", AK20 +$AK$16)</f>
        <v>-1.4785696038427217E-2</v>
      </c>
      <c r="AM20" s="26">
        <f xml:space="preserve"> IF(D20="XX", "XX", 60 * ($AP$4 * $AN$16 * (2 * ABS(AL20)/R20)^0.5))</f>
        <v>582.09183457535062</v>
      </c>
      <c r="AN20" s="27" t="str">
        <f>IF(D20="XX", "XX", IF(AL20&lt;0, "Exfl", "Infl"))</f>
        <v>Exfl</v>
      </c>
      <c r="AO20" s="26">
        <f t="shared" si="5"/>
        <v>582.09183457535062</v>
      </c>
      <c r="AP20" s="474">
        <f>IF(D20="XX", "XX", AO20/$K$10)</f>
        <v>6.9296646973256021E-2</v>
      </c>
      <c r="AQ20" s="26">
        <f t="shared" si="6"/>
        <v>9912.1698976785356</v>
      </c>
      <c r="AR20" s="392">
        <f xml:space="preserve"> IF(D20="XX", "XX", AO20 * 1.08 * 3000/1000)</f>
        <v>1885.9775440241363</v>
      </c>
    </row>
    <row r="21" spans="2:44" ht="19.05" customHeight="1" thickBot="1">
      <c r="B21" s="120">
        <f>'Input-Output'!AI11</f>
        <v>20</v>
      </c>
      <c r="C21" s="121">
        <f>'Input-Output'!AJ11</f>
        <v>5</v>
      </c>
      <c r="D21" s="604">
        <f>'Input-Output'!AK11</f>
        <v>88</v>
      </c>
      <c r="E21" s="122">
        <f>'Input-Output'!AL11</f>
        <v>1639</v>
      </c>
      <c r="F21" s="122">
        <f>'Input-Output'!AM11</f>
        <v>499.56720000000001</v>
      </c>
      <c r="G21" s="103">
        <f t="shared" si="4"/>
        <v>95.466199524531262</v>
      </c>
      <c r="H21" s="103">
        <f xml:space="preserve"> IF(E21="XX", "XX", G21*$AB$3)</f>
        <v>28.26802229212867</v>
      </c>
      <c r="I21" s="103">
        <f>IF(E21="XX", "XX", G21*$AD$3)</f>
        <v>383.63720197123172</v>
      </c>
      <c r="J21" s="103">
        <f xml:space="preserve"> IF(E21="XX", "XX",G21*$AF$3)</f>
        <v>13.846196172822722</v>
      </c>
      <c r="K21" s="103">
        <f xml:space="preserve"> IF(E21="XX", "XX", ( $K$65 + $U$4 * (E21-$D$4)/$F$4 ) )</f>
        <v>9.3506493506493502</v>
      </c>
      <c r="L21" s="123">
        <f xml:space="preserve"> IF(E21="XX", "XX", $L$65 - 0.00356*(E21-$E$65))</f>
        <v>90.945160000000001</v>
      </c>
      <c r="M21" s="123">
        <f>IF(E21="XX","XX ", $M$65-0.00356*(E21-$E$65))</f>
        <v>70.945160000000001</v>
      </c>
      <c r="N21" s="124">
        <f>IF(E21="XX","XX",100.45+33.193*AE21+2.319*AE21^2+0.17074*AE21^3+1.2063*(AD21*0.4897705)^3)</f>
        <v>61.278688243830921</v>
      </c>
      <c r="O21" s="125">
        <f>IF(E21="XX","XX ",((1093-0.556*M21)*AA21-0.24*(L21-M21))/(1093+0.444*L21-M21))</f>
        <v>1.2677004983231724E-2</v>
      </c>
      <c r="P21" s="126">
        <f xml:space="preserve"> IF(E21="XX", "XX", ((O21/AF21)/(1-(1-(O21/AF21))*(AB21/J21)))*100)</f>
        <v>38.383401805504519</v>
      </c>
      <c r="Q21" s="127">
        <f xml:space="preserve"> IF(E21="XX", "XX", 0.7543*(T21*(1+1.6078*O21))/H21)</f>
        <v>14.992820290898447</v>
      </c>
      <c r="R21" s="128">
        <f xml:space="preserve"> IF(E21="XX", "XX", 1/Q21)</f>
        <v>6.6698591765757431E-2</v>
      </c>
      <c r="S21" s="129">
        <f>IF(E21="XX", "XX", 0.24*L21+O21*(1061+0.444*L21))</f>
        <v>35.789033724664094</v>
      </c>
      <c r="T21" s="130">
        <f>IF(E21="XX", "XX", L21+459.7)</f>
        <v>550.64516000000003</v>
      </c>
      <c r="U21" s="131">
        <f>IF(E21="XX", "XX", M21+459.7)</f>
        <v>530.64516000000003</v>
      </c>
      <c r="X21" s="148">
        <f t="shared" si="3"/>
        <v>20</v>
      </c>
      <c r="Y21" s="128">
        <f>D21</f>
        <v>88</v>
      </c>
      <c r="Z21" s="125">
        <f xml:space="preserve"> IF(E21="XX", "XX", EXP((-10440.397/U21)+(-11.29465) + (-0.027022355*U21) + (0.00001289036*U21*U21) + (-0.0000000024780681*U21^3)+(6.5459673*LN(U21))) )</f>
        <v>0.3755414428409164</v>
      </c>
      <c r="AA21" s="142">
        <f>IF(E21="XX", "XX", 0.62198*Z21/(J21-Z21))</f>
        <v>1.7339859962286232E-2</v>
      </c>
      <c r="AB21" s="125">
        <f xml:space="preserve"> IF(E21="XX", "XX", EXP((-10440.397/T21)+(-11.29465) + (-0.027022355*T21) + (0.00001289036*T21*T21) + (-0.0000000024780681*T21^3)+(6.5459673*LN(T21))) )</f>
        <v>0.72055079423205926</v>
      </c>
      <c r="AC21" s="142">
        <f>IF(E21="XX", "XX", AB21*2.041772658 )</f>
        <v>1.4712009103632029</v>
      </c>
      <c r="AD21" s="142">
        <f>IF(E21="XX", "XX", (H21*O21)/(0.62198+O21))</f>
        <v>0.56464177760535184</v>
      </c>
      <c r="AE21" s="142">
        <f>IF(E21="XX", "XX", LN(AD21*0.4897705))</f>
        <v>-1.2853821357926807</v>
      </c>
      <c r="AF21" s="149">
        <f>IF(E21="XX", "XX", 0.62198*(AB21/(J21-AB21)))</f>
        <v>3.4144468334293618E-2</v>
      </c>
      <c r="AH21" s="475">
        <f xml:space="preserve"> IF(D21="XX", "XX", E21- $D$4)</f>
        <v>1139</v>
      </c>
      <c r="AI21" s="1">
        <f xml:space="preserve"> IF(D21="XX", "XX", $AN$3 * R21 * (T21-$T$7)/$T$7 * $AP$3 * ($H$4-AH21))</f>
        <v>-1.8538790139888666E-2</v>
      </c>
      <c r="AJ21" s="1">
        <f xml:space="preserve"> IF(D21="XX", "XX", $AR$3 * $AN$4^2 * $AR$4 * R21 * K21^2/2)</f>
        <v>3.9422748828883816E-4</v>
      </c>
      <c r="AK21" s="1">
        <f xml:space="preserve"> IF(D21="XX", "XX", AI21 +AJ21)</f>
        <v>-1.8144562651599829E-2</v>
      </c>
      <c r="AL21" s="1">
        <f xml:space="preserve"> IF(D21="XX", "XX", AK21 +$AK$16)</f>
        <v>-1.3144562651599828E-2</v>
      </c>
      <c r="AM21" s="28">
        <f xml:space="preserve"> IF(D21="XX", "XX", 60 * ($AP$4 * $AN$16 * (2 * ABS(AL21)/R21)^0.5))</f>
        <v>548.45671900044545</v>
      </c>
      <c r="AN21" s="29" t="str">
        <f>IF(D21="XX", "XX", IF(AL21&lt;0, "Exfl", "Infl"))</f>
        <v>Exfl</v>
      </c>
      <c r="AO21" s="28">
        <f t="shared" si="5"/>
        <v>548.45671900044545</v>
      </c>
      <c r="AP21" s="476">
        <f>IF(D21="XX", "XX", AO21/$K$10)</f>
        <v>6.5292466547672082E-2</v>
      </c>
      <c r="AQ21" s="28">
        <f t="shared" si="6"/>
        <v>9444.8485485401143</v>
      </c>
      <c r="AR21" s="397">
        <f xml:space="preserve"> IF(D21="XX", "XX", AO21 * 1.08 * 3000/1000)</f>
        <v>1776.9997695614431</v>
      </c>
    </row>
    <row r="22" spans="2:44" ht="19.05" customHeight="1">
      <c r="B22" s="13"/>
      <c r="C22" s="13"/>
      <c r="D22" s="13"/>
      <c r="E22" s="13"/>
      <c r="F22" s="23"/>
      <c r="G22" s="14"/>
      <c r="H22" s="14"/>
      <c r="I22" s="14"/>
      <c r="J22" s="14"/>
      <c r="K22" s="14"/>
      <c r="L22" s="9"/>
      <c r="M22" s="9"/>
      <c r="N22" s="18"/>
      <c r="O22" s="19"/>
      <c r="P22" s="20"/>
      <c r="Q22" s="21"/>
      <c r="R22" s="10"/>
      <c r="S22" s="56"/>
      <c r="T22" s="22"/>
      <c r="U22" s="22"/>
      <c r="Z22" s="19"/>
      <c r="AA22" s="15"/>
      <c r="AB22" s="19"/>
      <c r="AC22" s="15"/>
      <c r="AD22" s="15"/>
      <c r="AE22" s="15"/>
      <c r="AF22" s="19"/>
      <c r="AH22" s="58"/>
      <c r="AI22" s="151"/>
      <c r="AJ22" s="151"/>
      <c r="AK22" s="151"/>
      <c r="AL22" s="151"/>
      <c r="AM22" s="153"/>
      <c r="AN22" s="16"/>
      <c r="AO22" s="153"/>
      <c r="AP22" s="152"/>
      <c r="AQ22" s="153"/>
      <c r="AR22" s="153"/>
    </row>
    <row r="23" spans="2:44" ht="19.05" customHeight="1" thickBot="1">
      <c r="B23" s="66" t="str">
        <f>'Input-Output'!AK12</f>
        <v>6 (x)</v>
      </c>
      <c r="E23" s="13" t="s">
        <v>121</v>
      </c>
      <c r="F23" s="23"/>
      <c r="G23" s="115">
        <f>'Input-Output'!AE22</f>
        <v>25</v>
      </c>
      <c r="H23" s="435" t="s">
        <v>122</v>
      </c>
      <c r="I23" s="436"/>
      <c r="J23" s="436"/>
      <c r="K23" s="116">
        <f>'Input-Output'!AE32</f>
        <v>5600</v>
      </c>
      <c r="X23" s="75" t="str">
        <f t="shared" ref="X23:X29" si="7">B23</f>
        <v>6 (x)</v>
      </c>
      <c r="Z23" s="61" t="s">
        <v>125</v>
      </c>
      <c r="AA23" s="56"/>
      <c r="AB23" s="117">
        <f>'Input-Output'!AE24</f>
        <v>0.35</v>
      </c>
      <c r="AC23" s="62" t="s">
        <v>123</v>
      </c>
      <c r="AD23" s="19"/>
      <c r="AE23" s="117">
        <f>-'Input-Output'!AE25</f>
        <v>-0.6</v>
      </c>
      <c r="AH23" s="68" t="s">
        <v>124</v>
      </c>
      <c r="AK23" s="118">
        <f>'Input-Output'!AE26</f>
        <v>5.0000000000000001E-3</v>
      </c>
      <c r="AL23" s="150" t="s">
        <v>141</v>
      </c>
      <c r="AM23" s="151"/>
      <c r="AN23" s="155">
        <f>'Input-Output'!AE33</f>
        <v>19.599999999999998</v>
      </c>
      <c r="AO23" s="180" t="s">
        <v>222</v>
      </c>
      <c r="AP23" s="152"/>
      <c r="AR23" s="155">
        <f>SUM(AR26:AR29)/12</f>
        <v>294.49678291909021</v>
      </c>
    </row>
    <row r="24" spans="2:44" ht="19.05" customHeight="1">
      <c r="B24" s="162" t="s">
        <v>58</v>
      </c>
      <c r="C24" s="168" t="s">
        <v>118</v>
      </c>
      <c r="D24" s="163" t="s">
        <v>117</v>
      </c>
      <c r="E24" s="169" t="s">
        <v>66</v>
      </c>
      <c r="F24" s="163"/>
      <c r="G24" s="170" t="s">
        <v>57</v>
      </c>
      <c r="H24" s="171"/>
      <c r="I24" s="171"/>
      <c r="J24" s="171"/>
      <c r="K24" s="171" t="s">
        <v>60</v>
      </c>
      <c r="L24" s="172" t="s">
        <v>20</v>
      </c>
      <c r="M24" s="172" t="s">
        <v>21</v>
      </c>
      <c r="N24" s="172" t="s">
        <v>36</v>
      </c>
      <c r="O24" s="145" t="s">
        <v>40</v>
      </c>
      <c r="P24" s="145" t="s">
        <v>37</v>
      </c>
      <c r="Q24" s="145" t="s">
        <v>38</v>
      </c>
      <c r="R24" s="145" t="s">
        <v>39</v>
      </c>
      <c r="S24" s="145" t="s">
        <v>41</v>
      </c>
      <c r="T24" s="145" t="s">
        <v>42</v>
      </c>
      <c r="U24" s="146" t="s">
        <v>43</v>
      </c>
      <c r="X24" s="166" t="str">
        <f t="shared" si="7"/>
        <v>Level</v>
      </c>
      <c r="Y24" s="163" t="str">
        <f t="shared" ref="Y24:Y29" si="8">D24</f>
        <v>Bldg</v>
      </c>
      <c r="Z24" s="164" t="s">
        <v>142</v>
      </c>
      <c r="AA24" s="145"/>
      <c r="AB24" s="145"/>
      <c r="AC24" s="145"/>
      <c r="AD24" s="145"/>
      <c r="AE24" s="145"/>
      <c r="AF24" s="146"/>
      <c r="AH24" s="465" t="s">
        <v>76</v>
      </c>
      <c r="AI24" s="466" t="s">
        <v>68</v>
      </c>
      <c r="AJ24" s="466" t="s">
        <v>71</v>
      </c>
      <c r="AK24" s="466" t="s">
        <v>72</v>
      </c>
      <c r="AL24" s="466" t="s">
        <v>73</v>
      </c>
      <c r="AM24" s="467" t="s">
        <v>74</v>
      </c>
      <c r="AN24" s="468" t="s">
        <v>77</v>
      </c>
      <c r="AO24" s="467" t="s">
        <v>79</v>
      </c>
      <c r="AP24" s="469" t="s">
        <v>80</v>
      </c>
      <c r="AQ24" s="467" t="s">
        <v>197</v>
      </c>
      <c r="AR24" s="470" t="s">
        <v>199</v>
      </c>
    </row>
    <row r="25" spans="2:44" ht="19.05" customHeight="1">
      <c r="B25" s="173" t="s">
        <v>31</v>
      </c>
      <c r="C25" s="174" t="s">
        <v>59</v>
      </c>
      <c r="D25" s="174" t="s">
        <v>59</v>
      </c>
      <c r="E25" s="175" t="s">
        <v>14</v>
      </c>
      <c r="F25" s="175" t="s">
        <v>15</v>
      </c>
      <c r="G25" s="176" t="s">
        <v>18</v>
      </c>
      <c r="H25" s="176" t="s">
        <v>17</v>
      </c>
      <c r="I25" s="176" t="s">
        <v>19</v>
      </c>
      <c r="J25" s="176" t="s">
        <v>16</v>
      </c>
      <c r="K25" s="176" t="s">
        <v>61</v>
      </c>
      <c r="L25" s="177" t="s">
        <v>44</v>
      </c>
      <c r="M25" s="177" t="s">
        <v>44</v>
      </c>
      <c r="N25" s="177" t="s">
        <v>44</v>
      </c>
      <c r="O25" s="174" t="s">
        <v>47</v>
      </c>
      <c r="P25" s="174" t="s">
        <v>45</v>
      </c>
      <c r="Q25" s="174" t="s">
        <v>46</v>
      </c>
      <c r="R25" s="174" t="s">
        <v>22</v>
      </c>
      <c r="S25" s="174" t="s">
        <v>48</v>
      </c>
      <c r="T25" s="174" t="s">
        <v>49</v>
      </c>
      <c r="U25" s="178" t="s">
        <v>49</v>
      </c>
      <c r="X25" s="167" t="str">
        <f t="shared" si="7"/>
        <v>ID No.</v>
      </c>
      <c r="Y25" s="72" t="str">
        <f t="shared" si="8"/>
        <v>Flr No.</v>
      </c>
      <c r="Z25" s="73" t="s">
        <v>50</v>
      </c>
      <c r="AA25" s="73" t="s">
        <v>51</v>
      </c>
      <c r="AB25" s="73" t="s">
        <v>52</v>
      </c>
      <c r="AC25" s="73" t="s">
        <v>53</v>
      </c>
      <c r="AD25" s="73" t="s">
        <v>54</v>
      </c>
      <c r="AE25" s="73" t="s">
        <v>55</v>
      </c>
      <c r="AF25" s="74" t="s">
        <v>56</v>
      </c>
      <c r="AH25" s="471" t="s">
        <v>140</v>
      </c>
      <c r="AI25" s="159" t="s">
        <v>19</v>
      </c>
      <c r="AJ25" s="159" t="s">
        <v>19</v>
      </c>
      <c r="AK25" s="160" t="s">
        <v>86</v>
      </c>
      <c r="AL25" s="161" t="s">
        <v>87</v>
      </c>
      <c r="AM25" s="158" t="s">
        <v>75</v>
      </c>
      <c r="AN25" s="157" t="s">
        <v>78</v>
      </c>
      <c r="AO25" s="158" t="s">
        <v>75</v>
      </c>
      <c r="AP25" s="160" t="s">
        <v>81</v>
      </c>
      <c r="AQ25" s="158" t="s">
        <v>204</v>
      </c>
      <c r="AR25" s="472" t="s">
        <v>200</v>
      </c>
    </row>
    <row r="26" spans="2:44" ht="19.05" customHeight="1">
      <c r="B26" s="132">
        <f>'Input-Output'!AI13</f>
        <v>19</v>
      </c>
      <c r="C26" s="37">
        <f>'Input-Output'!AJ13</f>
        <v>0</v>
      </c>
      <c r="D26" s="605" t="str">
        <f>'Input-Output'!AK13</f>
        <v>XX</v>
      </c>
      <c r="E26" s="45" t="str">
        <f>'Input-Output'!AL13</f>
        <v>XX</v>
      </c>
      <c r="F26" s="45" t="str">
        <f>'Input-Output'!AM13</f>
        <v>XX</v>
      </c>
      <c r="G26" s="38" t="str">
        <f t="shared" ref="G26:G29" si="9">IF(E26="XX","XX",((101325*(1-2.25577*(10^(-5))*F26)^5.2555)/1000))</f>
        <v>XX</v>
      </c>
      <c r="H26" s="38" t="str">
        <f xml:space="preserve"> IF(E26="XX", "XX", G26*$AB$3)</f>
        <v>XX</v>
      </c>
      <c r="I26" s="38" t="str">
        <f>IF(E26="XX", "XX", G26*$AD$3)</f>
        <v>XX</v>
      </c>
      <c r="J26" s="38" t="str">
        <f xml:space="preserve"> IF(E26="XX", "XX",G26*$AF$3)</f>
        <v>XX</v>
      </c>
      <c r="K26" s="38" t="str">
        <f xml:space="preserve"> IF(E26="XX", "XX", ( $K$65 + $U$4 * (E26-$D$4)/$F$4 ) )</f>
        <v>XX</v>
      </c>
      <c r="L26" s="33" t="str">
        <f xml:space="preserve"> IF(E26="XX", "XX", $L$65 - 0.00356*(E26-$E$65))</f>
        <v>XX</v>
      </c>
      <c r="M26" s="33" t="str">
        <f>IF(E26="XX","XX ", $M$65-0.00356*(E26-$E$65))</f>
        <v xml:space="preserve">XX </v>
      </c>
      <c r="N26" s="40" t="str">
        <f>IF(E26="XX","XX",100.45+33.193*AE26+2.319*AE26^2+0.17074*AE26^3+1.2063*(AD26*0.4897705)^3)</f>
        <v>XX</v>
      </c>
      <c r="O26" s="41" t="str">
        <f>IF(E26="XX","XX ",((1093-0.556*M26)*AA26-0.24*(L26-M26))/(1093+0.444*L26-M26))</f>
        <v xml:space="preserve">XX </v>
      </c>
      <c r="P26" s="42" t="str">
        <f xml:space="preserve"> IF(E26="XX", "XX", ((O26/AF26)/(1-(1-(O26/AF26))*(AB26/J26)))*100)</f>
        <v>XX</v>
      </c>
      <c r="Q26" s="43" t="str">
        <f xml:space="preserve"> IF(E26="XX", "XX", 0.7543*(T26*(1+1.6078*O26))/H26)</f>
        <v>XX</v>
      </c>
      <c r="R26" s="34" t="str">
        <f xml:space="preserve"> IF(E26="XX", "XX", 1/Q26)</f>
        <v>XX</v>
      </c>
      <c r="S26" s="57" t="str">
        <f>IF(E26="XX", "XX", 0.24*L26+O26*(1061+0.444*L26))</f>
        <v>XX</v>
      </c>
      <c r="T26" s="44" t="str">
        <f>IF(E26="XX", "XX", L26+459.7)</f>
        <v>XX</v>
      </c>
      <c r="U26" s="133" t="str">
        <f>IF(E26="XX", "XX", M26+459.7)</f>
        <v>XX</v>
      </c>
      <c r="X26" s="147">
        <f t="shared" si="7"/>
        <v>19</v>
      </c>
      <c r="Y26" s="34" t="str">
        <f t="shared" si="8"/>
        <v>XX</v>
      </c>
      <c r="Z26" s="41" t="str">
        <f xml:space="preserve"> IF(E26="XX", "XX", EXP((-10440.397/U26)+(-11.29465) + (-0.027022355*U26) + (0.00001289036*U26*U26) + (-0.0000000024780681*U26^3)+(6.5459673*LN(U26))) )</f>
        <v>XX</v>
      </c>
      <c r="AA26" s="39" t="str">
        <f>IF(E26="XX", "XX", 0.62198*Z26/(J26-Z26))</f>
        <v>XX</v>
      </c>
      <c r="AB26" s="41" t="str">
        <f xml:space="preserve"> IF(E26="XX", "XX", EXP((-10440.397/T26)+(-11.29465) + (-0.027022355*T26) + (0.00001289036*T26*T26) + (-0.0000000024780681*T26^3)+(6.5459673*LN(T26))) )</f>
        <v>XX</v>
      </c>
      <c r="AC26" s="39" t="str">
        <f>IF(E26="XX", "XX", AB26*2.041772658 )</f>
        <v>XX</v>
      </c>
      <c r="AD26" s="39" t="str">
        <f>IF(E26="XX", "XX", (H26*O26)/(0.62198+O26))</f>
        <v>XX</v>
      </c>
      <c r="AE26" s="39" t="str">
        <f>IF(E26="XX", "XX", LN(AD26*0.4897705))</f>
        <v>XX</v>
      </c>
      <c r="AF26" s="140" t="str">
        <f>IF(E26="XX", "XX", 0.62198*(AB26/(J26-AB26)))</f>
        <v>XX</v>
      </c>
      <c r="AH26" s="473" t="str">
        <f xml:space="preserve"> IF(D26="XX", "XX", E26- $D$4)</f>
        <v>XX</v>
      </c>
      <c r="AI26" s="154" t="str">
        <f xml:space="preserve"> IF(D26="XX", "XX", $AN$3 * R26 * (T26-$T$7)/$T$7 * $AP$3 * ($H$4-AH26))</f>
        <v>XX</v>
      </c>
      <c r="AJ26" s="154" t="str">
        <f xml:space="preserve"> IF(D26="XX", "XX", $AR$3 * $AN$4^2 * $AR$4 * R26 * K26^2/2)</f>
        <v>XX</v>
      </c>
      <c r="AK26" s="154" t="str">
        <f xml:space="preserve"> IF(D26="XX", "XX", AI26 +AJ26)</f>
        <v>XX</v>
      </c>
      <c r="AL26" s="154" t="str">
        <f xml:space="preserve"> IF(D26="XX", "XX", AK26 +$AK$23)</f>
        <v>XX</v>
      </c>
      <c r="AM26" s="26" t="str">
        <f xml:space="preserve"> IF(D26="XX", "XX", 60 * ($AP$4 * $AN$23 * (2 * ABS(AL26)/R26)^0.5))</f>
        <v>XX</v>
      </c>
      <c r="AN26" s="27" t="str">
        <f>IF(D26="XX", "XX", IF(AL26&lt;0, "Exfl", "Infl"))</f>
        <v>XX</v>
      </c>
      <c r="AO26" s="26" t="str">
        <f t="shared" ref="AO26:AO28" si="10" xml:space="preserve"> IF(AN26="Infl", -AM26, AM26)</f>
        <v>XX</v>
      </c>
      <c r="AP26" s="474" t="str">
        <f>IF(D26="XX", "XX", AO26/$K$10)</f>
        <v>XX</v>
      </c>
      <c r="AQ26" s="26" t="str">
        <f t="shared" ref="AQ26:AQ29" si="11">IF(D26="XX", "XX", AO26*1.08*(L26-$L$8))</f>
        <v>XX</v>
      </c>
      <c r="AR26" s="392" t="str">
        <f xml:space="preserve"> IF(D26="XX", "XX", AO26 * 1.08 * 3000/1000)</f>
        <v>XX</v>
      </c>
    </row>
    <row r="27" spans="2:44" ht="19.05" customHeight="1">
      <c r="B27" s="132">
        <f>'Input-Output'!AI14</f>
        <v>18</v>
      </c>
      <c r="C27" s="37">
        <f>'Input-Output'!AJ14</f>
        <v>25</v>
      </c>
      <c r="D27" s="605">
        <f>'Input-Output'!AK14</f>
        <v>83</v>
      </c>
      <c r="E27" s="45">
        <f>'Input-Output'!AL14</f>
        <v>1589</v>
      </c>
      <c r="F27" s="45">
        <f>'Input-Output'!AM14</f>
        <v>484.3272</v>
      </c>
      <c r="G27" s="38">
        <f t="shared" si="9"/>
        <v>95.64077637107988</v>
      </c>
      <c r="H27" s="38">
        <f xml:space="preserve"> IF(E27="XX", "XX", G27*$AB$3)</f>
        <v>28.319715375277518</v>
      </c>
      <c r="I27" s="38">
        <f>IF(E27="XX", "XX", G27*$AD$3)</f>
        <v>384.33875051168309</v>
      </c>
      <c r="J27" s="38">
        <f xml:space="preserve"> IF(E27="XX", "XX",G27*$AF$3)</f>
        <v>13.871516393765672</v>
      </c>
      <c r="K27" s="38">
        <f xml:space="preserve"> IF(E27="XX", "XX", ( $K$65 + $U$4 * (E27-$D$4)/$F$4 ) )</f>
        <v>9.1596638655462179</v>
      </c>
      <c r="L27" s="33">
        <f xml:space="preserve"> IF(E27="XX", "XX", $L$65 - 0.00356*(E27-$E$65))</f>
        <v>91.123159999999999</v>
      </c>
      <c r="M27" s="33">
        <f>IF(E27="XX","XX ", $M$65-0.00356*(E27-$E$65))</f>
        <v>71.123159999999999</v>
      </c>
      <c r="N27" s="40">
        <f>IF(E27="XX","XX",100.45+33.193*AE27+2.319*AE27^2+0.17074*AE27^3+1.2063*(AD27*0.4897705)^3)</f>
        <v>61.491452557515203</v>
      </c>
      <c r="O27" s="41">
        <f>IF(E27="XX","XX ",((1093-0.556*M27)*AA27-0.24*(L27-M27))/(1093+0.444*L27-M27))</f>
        <v>1.2751300529257947E-2</v>
      </c>
      <c r="P27" s="42">
        <f xml:space="preserve"> IF(E27="XX", "XX", ((O27/AF27)/(1-(1-(O27/AF27))*(AB27/J27)))*100)</f>
        <v>38.4600445904846</v>
      </c>
      <c r="Q27" s="43">
        <f xml:space="preserve"> IF(E27="XX", "XX", 0.7543*(T27*(1+1.6078*O27))/H27)</f>
        <v>14.972043517242508</v>
      </c>
      <c r="R27" s="34">
        <f xml:space="preserve"> IF(E27="XX", "XX", 1/Q27)</f>
        <v>6.679114970834496E-2</v>
      </c>
      <c r="S27" s="57">
        <f>IF(E27="XX", "XX", 0.24*L27+O27*(1061+0.444*L27))</f>
        <v>35.914589088003709</v>
      </c>
      <c r="T27" s="44">
        <f>IF(E27="XX", "XX", L27+459.7)</f>
        <v>550.82316000000003</v>
      </c>
      <c r="U27" s="133">
        <f>IF(E27="XX", "XX", M27+459.7)</f>
        <v>530.82316000000003</v>
      </c>
      <c r="X27" s="147">
        <f t="shared" si="7"/>
        <v>18</v>
      </c>
      <c r="Y27" s="34">
        <f t="shared" si="8"/>
        <v>83</v>
      </c>
      <c r="Z27" s="41">
        <f xml:space="preserve"> IF(E27="XX", "XX", EXP((-10440.397/U27)+(-11.29465) + (-0.027022355*U27) + (0.00001289036*U27*U27) + (-0.0000000024780681*U27^3)+(6.5459673*LN(U27))) )</f>
        <v>0.37781875733576364</v>
      </c>
      <c r="AA27" s="39">
        <f>IF(E27="XX", "XX", 0.62198*Z27/(J27-Z27))</f>
        <v>1.7415219832202507E-2</v>
      </c>
      <c r="AB27" s="41">
        <f xml:space="preserve"> IF(E27="XX", "XX", EXP((-10440.397/T27)+(-11.29465) + (-0.027022355*T27) + (0.00001289036*T27*T27) + (-0.0000000024780681*T27^3)+(6.5459673*LN(T27))) )</f>
        <v>0.72456728683809901</v>
      </c>
      <c r="AC27" s="39">
        <f>IF(E27="XX", "XX", AB27*2.041772658 )</f>
        <v>1.4794016751472741</v>
      </c>
      <c r="AD27" s="39">
        <f>IF(E27="XX", "XX", (H27*O27)/(0.62198+O27))</f>
        <v>0.56892294637447949</v>
      </c>
      <c r="AE27" s="39">
        <f>IF(E27="XX", "XX", LN(AD27*0.4897705))</f>
        <v>-1.2778286383455009</v>
      </c>
      <c r="AF27" s="140">
        <f>IF(E27="XX", "XX", 0.62198*(AB27/(J27-AB27)))</f>
        <v>3.427915917238087E-2</v>
      </c>
      <c r="AH27" s="473">
        <f xml:space="preserve"> IF(D27="XX", "XX", E27- $D$4)</f>
        <v>1089</v>
      </c>
      <c r="AI27" s="154">
        <f xml:space="preserve"> IF(D27="XX", "XX", $AN$3 * R27 * (T27-$T$7)/$T$7 * $AP$3 * ($H$4-AH27))</f>
        <v>-1.6834527235863837E-2</v>
      </c>
      <c r="AJ27" s="154">
        <f xml:space="preserve"> IF(D27="XX", "XX", $AR$3 * $AN$4^2 * $AR$4 * R27 * K27^2/2)</f>
        <v>3.7881283750226417E-4</v>
      </c>
      <c r="AK27" s="154">
        <f xml:space="preserve"> IF(D27="XX", "XX", AI27 +AJ27)</f>
        <v>-1.6455714398361573E-2</v>
      </c>
      <c r="AL27" s="154">
        <f xml:space="preserve"> IF(D27="XX", "XX", AK27 +$AK$23)</f>
        <v>-1.1455714398361572E-2</v>
      </c>
      <c r="AM27" s="26">
        <f xml:space="preserve"> IF(D27="XX", "XX", 60 * ($AP$4 * $AN$23 * (2 * ABS(AL27)/R27)^0.5))</f>
        <v>447.70021758811271</v>
      </c>
      <c r="AN27" s="27" t="str">
        <f>IF(D27="XX", "XX", IF(AL27&lt;0, "Exfl", "Infl"))</f>
        <v>Exfl</v>
      </c>
      <c r="AO27" s="26">
        <f t="shared" si="10"/>
        <v>447.70021758811271</v>
      </c>
      <c r="AP27" s="474">
        <f>IF(D27="XX", "XX", AO27/$K$10)</f>
        <v>5.3297644950965797E-2</v>
      </c>
      <c r="AQ27" s="26">
        <f t="shared" si="11"/>
        <v>7795.8096194245918</v>
      </c>
      <c r="AR27" s="392">
        <f xml:space="preserve"> IF(D27="XX", "XX", AO27 * 1.08 * 3000/1000)</f>
        <v>1450.5487049854853</v>
      </c>
    </row>
    <row r="28" spans="2:44" ht="19.05" customHeight="1">
      <c r="B28" s="132">
        <f>'Input-Output'!AI15</f>
        <v>17</v>
      </c>
      <c r="C28" s="37">
        <f>'Input-Output'!AJ15</f>
        <v>15</v>
      </c>
      <c r="D28" s="605">
        <f>'Input-Output'!AK15</f>
        <v>73</v>
      </c>
      <c r="E28" s="45">
        <f>'Input-Output'!AL15</f>
        <v>1489</v>
      </c>
      <c r="F28" s="45">
        <f>'Input-Output'!AM15</f>
        <v>453.84720000000004</v>
      </c>
      <c r="G28" s="38">
        <f t="shared" si="9"/>
        <v>95.990705586392195</v>
      </c>
      <c r="H28" s="38">
        <f xml:space="preserve"> IF(E28="XX", "XX", G28*$AB$3)</f>
        <v>28.423331177607363</v>
      </c>
      <c r="I28" s="38">
        <f>IF(E28="XX", "XX", G28*$AD$3)</f>
        <v>385.74496407961618</v>
      </c>
      <c r="J28" s="38">
        <f xml:space="preserve"> IF(E28="XX", "XX",G28*$AF$3)</f>
        <v>13.922269315595049</v>
      </c>
      <c r="K28" s="38">
        <f xml:space="preserve"> IF(E28="XX", "XX", ( $K$65 + $U$4 * (E28-$D$4)/$F$4 ) )</f>
        <v>8.7776928953399533</v>
      </c>
      <c r="L28" s="33">
        <f xml:space="preserve"> IF(E28="XX", "XX", $L$65 - 0.00356*(E28-$E$65))</f>
        <v>91.479160000000007</v>
      </c>
      <c r="M28" s="33">
        <f>IF(E28="XX","XX ", $M$65-0.00356*(E28-$E$65))</f>
        <v>71.479160000000007</v>
      </c>
      <c r="N28" s="40">
        <f>IF(E28="XX","XX",100.45+33.193*AE28+2.319*AE28^2+0.17074*AE28^3+1.2063*(AD28*0.4897705)^3)</f>
        <v>61.916367394515461</v>
      </c>
      <c r="O28" s="41">
        <f>IF(E28="XX","XX ",((1093-0.556*M28)*AA28-0.24*(L28-M28))/(1093+0.444*L28-M28))</f>
        <v>1.2900681002913925E-2</v>
      </c>
      <c r="P28" s="42">
        <f xml:space="preserve"> IF(E28="XX", "XX", ((O28/AF28)/(1-(1-(O28/AF28))*(AB28/J28)))*100)</f>
        <v>38.612587971691667</v>
      </c>
      <c r="Q28" s="43">
        <f xml:space="preserve"> IF(E28="XX", "XX", 0.7543*(T28*(1+1.6078*O28))/H28)</f>
        <v>14.930618012857217</v>
      </c>
      <c r="R28" s="34">
        <f xml:space="preserve"> IF(E28="XX", "XX", 1/Q28)</f>
        <v>6.6976464010991985E-2</v>
      </c>
      <c r="S28" s="57">
        <f>IF(E28="XX", "XX", 0.24*L28+O28*(1061+0.444*L28))</f>
        <v>36.166604641030766</v>
      </c>
      <c r="T28" s="44">
        <f>IF(E28="XX", "XX", L28+459.7)</f>
        <v>551.17916000000002</v>
      </c>
      <c r="U28" s="133">
        <f>IF(E28="XX", "XX", M28+459.7)</f>
        <v>531.17916000000002</v>
      </c>
      <c r="X28" s="147">
        <f t="shared" si="7"/>
        <v>17</v>
      </c>
      <c r="Y28" s="34">
        <f t="shared" si="8"/>
        <v>73</v>
      </c>
      <c r="Z28" s="41">
        <f xml:space="preserve"> IF(E28="XX", "XX", EXP((-10440.397/U28)+(-11.29465) + (-0.027022355*U28) + (0.00001289036*U28*U28) + (-0.0000000024780681*U28^3)+(6.5459673*LN(U28))) )</f>
        <v>0.38240963271388501</v>
      </c>
      <c r="AA28" s="39">
        <f>IF(E28="XX", "XX", 0.62198*Z28/(J28-Z28))</f>
        <v>1.7566736208950842E-2</v>
      </c>
      <c r="AB28" s="41">
        <f xml:space="preserve"> IF(E28="XX", "XX", EXP((-10440.397/T28)+(-11.29465) + (-0.027022355*T28) + (0.00001289036*T28*T28) + (-0.0000000024780681*T28^3)+(6.5459673*LN(T28))) )</f>
        <v>0.73265858750022739</v>
      </c>
      <c r="AC28" s="39">
        <f>IF(E28="XX", "XX", AB28*2.041772658 )</f>
        <v>1.495922271606865</v>
      </c>
      <c r="AD28" s="39">
        <f>IF(E28="XX", "XX", (H28*O28)/(0.62198+O28))</f>
        <v>0.57755786171229773</v>
      </c>
      <c r="AE28" s="39">
        <f>IF(E28="XX", "XX", LN(AD28*0.4897705))</f>
        <v>-1.2627650131066577</v>
      </c>
      <c r="AF28" s="140">
        <f>IF(E28="XX", "XX", 0.62198*(AB28/(J28-AB28)))</f>
        <v>3.4549843634332569E-2</v>
      </c>
      <c r="AH28" s="473">
        <f xml:space="preserve"> IF(D28="XX", "XX", E28- $D$4)</f>
        <v>989</v>
      </c>
      <c r="AI28" s="154">
        <f xml:space="preserve"> IF(D28="XX", "XX", $AN$3 * R28 * (T28-$T$7)/$T$7 * $AP$3 * ($H$4-AH28))</f>
        <v>-1.3282978471827186E-2</v>
      </c>
      <c r="AJ28" s="154">
        <f xml:space="preserve"> IF(D28="XX", "XX", $AR$3 * $AN$4^2 * $AR$4 * R28 * K28^2/2)</f>
        <v>3.4884272927632301E-4</v>
      </c>
      <c r="AK28" s="154">
        <f xml:space="preserve"> IF(D28="XX", "XX", AI28 +AJ28)</f>
        <v>-1.2934135742550862E-2</v>
      </c>
      <c r="AL28" s="154">
        <f xml:space="preserve"> IF(D28="XX", "XX", AK28 +$AK$23)</f>
        <v>-7.934135742550863E-3</v>
      </c>
      <c r="AM28" s="26">
        <f xml:space="preserve"> IF(D28="XX", "XX", 60 * ($AP$4 * $AN$23 * (2 * ABS(AL28)/R28)^0.5))</f>
        <v>372.06976647392906</v>
      </c>
      <c r="AN28" s="27" t="str">
        <f>IF(D28="XX", "XX", IF(AL28&lt;0, "Exfl", "Infl"))</f>
        <v>Exfl</v>
      </c>
      <c r="AO28" s="26">
        <f t="shared" si="10"/>
        <v>372.06976647392906</v>
      </c>
      <c r="AP28" s="474">
        <f>IF(D28="XX", "XX", AO28/$K$10)</f>
        <v>4.4294019818324891E-2</v>
      </c>
      <c r="AQ28" s="26">
        <f t="shared" si="11"/>
        <v>6621.9089899174369</v>
      </c>
      <c r="AR28" s="392">
        <f xml:space="preserve"> IF(D28="XX", "XX", AO28 * 1.08 * 3000/1000)</f>
        <v>1205.5060433755302</v>
      </c>
    </row>
    <row r="29" spans="2:44" ht="19.05" customHeight="1" thickBot="1">
      <c r="B29" s="120">
        <f>'Input-Output'!AI16</f>
        <v>16</v>
      </c>
      <c r="C29" s="121">
        <f>'Input-Output'!AJ16</f>
        <v>5</v>
      </c>
      <c r="D29" s="604">
        <f>'Input-Output'!AK16</f>
        <v>63</v>
      </c>
      <c r="E29" s="122">
        <f>'Input-Output'!AL16</f>
        <v>1389</v>
      </c>
      <c r="F29" s="122">
        <f>'Input-Output'!AM16</f>
        <v>423.36720000000003</v>
      </c>
      <c r="G29" s="103">
        <f t="shared" si="9"/>
        <v>96.341670782569636</v>
      </c>
      <c r="H29" s="103">
        <f xml:space="preserve"> IF(E29="XX", "XX", G29*$AB$3)</f>
        <v>28.527253739086895</v>
      </c>
      <c r="I29" s="103">
        <f>IF(E29="XX", "XX", G29*$AD$3)</f>
        <v>387.15534080479631</v>
      </c>
      <c r="J29" s="103">
        <f xml:space="preserve"> IF(E29="XX", "XX",G29*$AF$3)</f>
        <v>13.973172493686446</v>
      </c>
      <c r="K29" s="103">
        <f xml:space="preserve"> IF(E29="XX", "XX", ( $K$65 + $U$4 * (E29-$D$4)/$F$4 ) )</f>
        <v>8.3957219251336888</v>
      </c>
      <c r="L29" s="123">
        <f xml:space="preserve"> IF(E29="XX", "XX", $L$65 - 0.00356*(E29-$E$65))</f>
        <v>91.835160000000002</v>
      </c>
      <c r="M29" s="123">
        <f>IF(E29="XX","XX ", $M$65-0.00356*(E29-$E$65))</f>
        <v>71.835160000000002</v>
      </c>
      <c r="N29" s="124">
        <f>IF(E29="XX","XX",100.45+33.193*AE29+2.319*AE29^2+0.17074*AE29^3+1.2063*(AD29*0.4897705)^3)</f>
        <v>62.340477974582463</v>
      </c>
      <c r="O29" s="125">
        <f>IF(E29="XX","XX ",((1093-0.556*M29)*AA29-0.24*(L29-M29))/(1093+0.444*L29-M29))</f>
        <v>1.3051118664643853E-2</v>
      </c>
      <c r="P29" s="126">
        <f xml:space="preserve"> IF(E29="XX", "XX", ((O29/AF29)/(1-(1-(O29/AF29))*(AB29/J29)))*100)</f>
        <v>38.764150082817736</v>
      </c>
      <c r="Q29" s="127">
        <f xml:space="preserve"> IF(E29="XX", "XX", 0.7543*(T29*(1+1.6078*O29))/H29)</f>
        <v>14.889362640505752</v>
      </c>
      <c r="R29" s="128">
        <f xml:space="preserve"> IF(E29="XX", "XX", 1/Q29)</f>
        <v>6.7162042066162789E-2</v>
      </c>
      <c r="S29" s="129">
        <f>IF(E29="XX", "XX", 0.24*L29+O29*(1061+0.444*L29))</f>
        <v>36.419832200598599</v>
      </c>
      <c r="T29" s="130">
        <f>IF(E29="XX", "XX", L29+459.7)</f>
        <v>551.53516000000002</v>
      </c>
      <c r="U29" s="131">
        <f>IF(E29="XX", "XX", M29+459.7)</f>
        <v>531.53516000000002</v>
      </c>
      <c r="X29" s="148">
        <f t="shared" si="7"/>
        <v>16</v>
      </c>
      <c r="Y29" s="128">
        <f t="shared" si="8"/>
        <v>63</v>
      </c>
      <c r="Z29" s="125">
        <f xml:space="preserve"> IF(E29="XX", "XX", EXP((-10440.397/U29)+(-11.29465) + (-0.027022355*U29) + (0.00001289036*U29*U29) + (-0.0000000024780681*U29^3)+(6.5459673*LN(U29))) )</f>
        <v>0.38704919667985432</v>
      </c>
      <c r="AA29" s="142">
        <f>IF(E29="XX", "XX", 0.62198*Z29/(J29-Z29))</f>
        <v>1.7719319491526837E-2</v>
      </c>
      <c r="AB29" s="125">
        <f xml:space="preserve"> IF(E29="XX", "XX", EXP((-10440.397/T29)+(-11.29465) + (-0.027022355*T29) + (0.00001289036*T29*T29) + (-0.0000000024780681*T29^3)+(6.5459673*LN(T29))) )</f>
        <v>0.74082816422179676</v>
      </c>
      <c r="AC29" s="142">
        <f>IF(E29="XX", "XX", AB29*2.041772658 )</f>
        <v>1.5126026899843985</v>
      </c>
      <c r="AD29" s="142">
        <f>IF(E29="XX", "XX", (H29*O29)/(0.62198+O29))</f>
        <v>0.58629028213315659</v>
      </c>
      <c r="AE29" s="142">
        <f>IF(E29="XX", "XX", LN(AD29*0.4897705))</f>
        <v>-1.2477586149970541</v>
      </c>
      <c r="AF29" s="149">
        <f>IF(E29="XX", "XX", 0.62198*(AB29/(J29-AB29)))</f>
        <v>3.4822272615491659E-2</v>
      </c>
      <c r="AH29" s="475">
        <f xml:space="preserve"> IF(D29="XX", "XX", E29- $D$4)</f>
        <v>889</v>
      </c>
      <c r="AI29" s="1">
        <f xml:space="preserve"> IF(D29="XX", "XX", $AN$3 * R29 * (T29-$T$7)/$T$7 * $AP$3 * ($H$4-AH29))</f>
        <v>-9.5395095804894307E-3</v>
      </c>
      <c r="AJ29" s="1">
        <f xml:space="preserve"> IF(D29="XX", "XX", $AR$3 * $AN$4^2 * $AR$4 * R29 * K29^2/2)</f>
        <v>3.2002704401751843E-4</v>
      </c>
      <c r="AK29" s="1">
        <f xml:space="preserve"> IF(D29="XX", "XX", AI29 +AJ29)</f>
        <v>-9.2194825364719131E-3</v>
      </c>
      <c r="AL29" s="1">
        <f xml:space="preserve"> IF(D29="XX", "XX", AK29 +$AK$23)</f>
        <v>-4.219482536471913E-3</v>
      </c>
      <c r="AM29" s="28">
        <f xml:space="preserve"> IF(D29="XX", "XX", 60 * ($AP$4 * $AN$23 * (2 * ABS(AL29)/R29)^0.5))</f>
        <v>270.95884156421829</v>
      </c>
      <c r="AN29" s="29" t="str">
        <f>IF(D29="XX", "XX", IF(AL29&lt;0, "Exfl", "Infl"))</f>
        <v>Exfl</v>
      </c>
      <c r="AO29" s="28">
        <f t="shared" ref="AO29" si="12" xml:space="preserve"> IF(AN29="Infl", -AM29, AM29)</f>
        <v>270.95884156421829</v>
      </c>
      <c r="AP29" s="476">
        <f>IF(D29="XX", "XX", AO29/$K$10)</f>
        <v>3.2257004948121226E-2</v>
      </c>
      <c r="AQ29" s="28">
        <f t="shared" si="11"/>
        <v>4926.5662872401272</v>
      </c>
      <c r="AR29" s="397">
        <f xml:space="preserve"> IF(D29="XX", "XX", AO29 * 1.08 * 3000/1000)</f>
        <v>877.90664666806731</v>
      </c>
    </row>
    <row r="30" spans="2:44" ht="19.05" customHeight="1">
      <c r="B30" s="13"/>
      <c r="C30" s="13"/>
      <c r="D30" s="13"/>
      <c r="E30" s="13"/>
      <c r="F30" s="23"/>
      <c r="G30" s="14"/>
      <c r="H30" s="14"/>
      <c r="I30" s="14"/>
      <c r="J30" s="14"/>
      <c r="K30" s="14"/>
      <c r="L30" s="9"/>
      <c r="M30" s="9"/>
      <c r="N30" s="18"/>
      <c r="O30" s="19"/>
      <c r="P30" s="20"/>
      <c r="Q30" s="21"/>
      <c r="R30" s="10"/>
      <c r="S30" s="56"/>
      <c r="T30" s="22"/>
      <c r="U30" s="22"/>
      <c r="Z30" s="19"/>
      <c r="AA30" s="15"/>
      <c r="AB30" s="19"/>
      <c r="AC30" s="15"/>
      <c r="AD30" s="15"/>
      <c r="AE30" s="15"/>
      <c r="AF30" s="19"/>
      <c r="AH30" s="58"/>
      <c r="AI30" s="151"/>
      <c r="AJ30" s="151"/>
      <c r="AK30" s="151"/>
      <c r="AL30" s="151"/>
      <c r="AM30" s="153"/>
      <c r="AN30" s="16"/>
      <c r="AO30" s="153"/>
      <c r="AP30" s="152"/>
      <c r="AQ30" s="153"/>
      <c r="AR30" s="153"/>
    </row>
    <row r="31" spans="2:44" ht="19.05" customHeight="1" thickBot="1">
      <c r="B31" s="66">
        <f>'Input-Output'!AK17</f>
        <v>5</v>
      </c>
      <c r="E31" s="13" t="s">
        <v>121</v>
      </c>
      <c r="F31" s="23"/>
      <c r="G31" s="115">
        <f>'Input-Output'!AD22</f>
        <v>5</v>
      </c>
      <c r="H31" s="435" t="s">
        <v>122</v>
      </c>
      <c r="I31" s="436"/>
      <c r="J31" s="436"/>
      <c r="K31" s="116">
        <f>'Input-Output'!AD32</f>
        <v>9600</v>
      </c>
      <c r="X31" s="75">
        <f t="shared" ref="X31:X36" si="13">B31</f>
        <v>5</v>
      </c>
      <c r="Z31" s="61" t="s">
        <v>125</v>
      </c>
      <c r="AA31" s="56"/>
      <c r="AB31" s="117">
        <f>'Input-Output'!AD24</f>
        <v>0.3</v>
      </c>
      <c r="AC31" s="62" t="s">
        <v>123</v>
      </c>
      <c r="AD31" s="19"/>
      <c r="AE31" s="117">
        <f>'Input-Output'!AD25</f>
        <v>0.6</v>
      </c>
      <c r="AH31" s="68" t="s">
        <v>124</v>
      </c>
      <c r="AK31" s="118">
        <f>'Input-Output'!AD26</f>
        <v>5.0000000000000001E-3</v>
      </c>
      <c r="AL31" s="150" t="s">
        <v>141</v>
      </c>
      <c r="AM31" s="151"/>
      <c r="AN31" s="155">
        <f>'Input-Output'!AD33</f>
        <v>28.8</v>
      </c>
      <c r="AO31" s="180" t="s">
        <v>222</v>
      </c>
      <c r="AP31" s="152"/>
      <c r="AR31" s="155">
        <f>SUM(AR34:AR36)/12</f>
        <v>118.34828273079779</v>
      </c>
    </row>
    <row r="32" spans="2:44" ht="19.05" customHeight="1">
      <c r="B32" s="162" t="s">
        <v>58</v>
      </c>
      <c r="C32" s="168" t="s">
        <v>118</v>
      </c>
      <c r="D32" s="163" t="s">
        <v>117</v>
      </c>
      <c r="E32" s="169" t="s">
        <v>66</v>
      </c>
      <c r="F32" s="163"/>
      <c r="G32" s="170" t="s">
        <v>57</v>
      </c>
      <c r="H32" s="171"/>
      <c r="I32" s="171"/>
      <c r="J32" s="171"/>
      <c r="K32" s="171" t="s">
        <v>60</v>
      </c>
      <c r="L32" s="172" t="s">
        <v>20</v>
      </c>
      <c r="M32" s="172" t="s">
        <v>21</v>
      </c>
      <c r="N32" s="172" t="s">
        <v>36</v>
      </c>
      <c r="O32" s="145" t="s">
        <v>40</v>
      </c>
      <c r="P32" s="145" t="s">
        <v>37</v>
      </c>
      <c r="Q32" s="145" t="s">
        <v>38</v>
      </c>
      <c r="R32" s="145" t="s">
        <v>39</v>
      </c>
      <c r="S32" s="145" t="s">
        <v>41</v>
      </c>
      <c r="T32" s="145" t="s">
        <v>42</v>
      </c>
      <c r="U32" s="146" t="s">
        <v>43</v>
      </c>
      <c r="X32" s="166" t="str">
        <f t="shared" si="13"/>
        <v>Level</v>
      </c>
      <c r="Y32" s="163" t="str">
        <f>D32</f>
        <v>Bldg</v>
      </c>
      <c r="Z32" s="164" t="s">
        <v>142</v>
      </c>
      <c r="AA32" s="145"/>
      <c r="AB32" s="145"/>
      <c r="AC32" s="145"/>
      <c r="AD32" s="145"/>
      <c r="AE32" s="145"/>
      <c r="AF32" s="146"/>
      <c r="AH32" s="465" t="s">
        <v>76</v>
      </c>
      <c r="AI32" s="466" t="s">
        <v>68</v>
      </c>
      <c r="AJ32" s="466" t="s">
        <v>71</v>
      </c>
      <c r="AK32" s="466" t="s">
        <v>72</v>
      </c>
      <c r="AL32" s="466" t="s">
        <v>73</v>
      </c>
      <c r="AM32" s="467" t="s">
        <v>74</v>
      </c>
      <c r="AN32" s="468" t="s">
        <v>77</v>
      </c>
      <c r="AO32" s="467" t="s">
        <v>79</v>
      </c>
      <c r="AP32" s="469" t="s">
        <v>80</v>
      </c>
      <c r="AQ32" s="467" t="s">
        <v>197</v>
      </c>
      <c r="AR32" s="470" t="s">
        <v>199</v>
      </c>
    </row>
    <row r="33" spans="2:44" ht="19.05" customHeight="1">
      <c r="B33" s="173" t="s">
        <v>31</v>
      </c>
      <c r="C33" s="174" t="s">
        <v>59</v>
      </c>
      <c r="D33" s="174" t="s">
        <v>59</v>
      </c>
      <c r="E33" s="175" t="s">
        <v>14</v>
      </c>
      <c r="F33" s="175" t="s">
        <v>15</v>
      </c>
      <c r="G33" s="176" t="s">
        <v>18</v>
      </c>
      <c r="H33" s="176" t="s">
        <v>17</v>
      </c>
      <c r="I33" s="176" t="s">
        <v>19</v>
      </c>
      <c r="J33" s="176" t="s">
        <v>16</v>
      </c>
      <c r="K33" s="176" t="s">
        <v>61</v>
      </c>
      <c r="L33" s="177" t="s">
        <v>44</v>
      </c>
      <c r="M33" s="177" t="s">
        <v>44</v>
      </c>
      <c r="N33" s="177" t="s">
        <v>44</v>
      </c>
      <c r="O33" s="174" t="s">
        <v>47</v>
      </c>
      <c r="P33" s="174" t="s">
        <v>45</v>
      </c>
      <c r="Q33" s="174" t="s">
        <v>46</v>
      </c>
      <c r="R33" s="174" t="s">
        <v>22</v>
      </c>
      <c r="S33" s="174" t="s">
        <v>48</v>
      </c>
      <c r="T33" s="174" t="s">
        <v>49</v>
      </c>
      <c r="U33" s="178" t="s">
        <v>49</v>
      </c>
      <c r="X33" s="167" t="str">
        <f t="shared" si="13"/>
        <v>ID No.</v>
      </c>
      <c r="Y33" s="72" t="str">
        <f>D33</f>
        <v>Flr No.</v>
      </c>
      <c r="Z33" s="73" t="s">
        <v>50</v>
      </c>
      <c r="AA33" s="73" t="s">
        <v>51</v>
      </c>
      <c r="AB33" s="73" t="s">
        <v>52</v>
      </c>
      <c r="AC33" s="73" t="s">
        <v>53</v>
      </c>
      <c r="AD33" s="73" t="s">
        <v>54</v>
      </c>
      <c r="AE33" s="73" t="s">
        <v>55</v>
      </c>
      <c r="AF33" s="74" t="s">
        <v>56</v>
      </c>
      <c r="AH33" s="471" t="s">
        <v>140</v>
      </c>
      <c r="AI33" s="159" t="s">
        <v>19</v>
      </c>
      <c r="AJ33" s="159" t="s">
        <v>19</v>
      </c>
      <c r="AK33" s="160" t="s">
        <v>86</v>
      </c>
      <c r="AL33" s="161" t="s">
        <v>87</v>
      </c>
      <c r="AM33" s="158" t="s">
        <v>75</v>
      </c>
      <c r="AN33" s="157" t="s">
        <v>78</v>
      </c>
      <c r="AO33" s="158" t="s">
        <v>75</v>
      </c>
      <c r="AP33" s="160" t="s">
        <v>81</v>
      </c>
      <c r="AQ33" s="158" t="s">
        <v>204</v>
      </c>
      <c r="AR33" s="472" t="s">
        <v>200</v>
      </c>
    </row>
    <row r="34" spans="2:44" ht="19.05" customHeight="1">
      <c r="B34" s="134">
        <f>'Input-Output'!AI18</f>
        <v>15</v>
      </c>
      <c r="C34" s="36">
        <f>'Input-Output'!AJ18</f>
        <v>5</v>
      </c>
      <c r="D34" s="36">
        <f>'Input-Output'!AK18</f>
        <v>58</v>
      </c>
      <c r="E34" s="36">
        <f>'Input-Output'!AL18</f>
        <v>1339</v>
      </c>
      <c r="F34" s="36">
        <f>'Input-Output'!AM18</f>
        <v>408.12720000000002</v>
      </c>
      <c r="G34" s="38">
        <f t="shared" ref="G34:G36" si="14">IF(E34="XX","XX",((101325*(1-2.25577*(10^(-5))*F34)^5.2555)/1000))</f>
        <v>96.51754260605999</v>
      </c>
      <c r="H34" s="38">
        <f xml:space="preserve"> IF(E34="XX", "XX", G34*$AB$3)</f>
        <v>28.57933027142759</v>
      </c>
      <c r="I34" s="38">
        <f>IF(E34="XX", "XX", G34*$AD$3)</f>
        <v>387.86209329526366</v>
      </c>
      <c r="J34" s="38">
        <f xml:space="preserve"> IF(E34="XX", "XX",G34*$AF$3)</f>
        <v>13.998680535081702</v>
      </c>
      <c r="K34" s="38">
        <f xml:space="preserve"> IF(E34="XX", "XX", ( $K$65 + $U$4 * (E34-$D$4)/$F$4 ) )</f>
        <v>8.2047364400305582</v>
      </c>
      <c r="L34" s="33">
        <f xml:space="preserve"> IF(E34="XX", "XX", $L$65 - 0.00356*(E34-$E$65))</f>
        <v>92.013159999999999</v>
      </c>
      <c r="M34" s="33">
        <f>IF(E34="XX","XX ", $M$65-0.00356*(E34-$E$65))</f>
        <v>72.013159999999999</v>
      </c>
      <c r="N34" s="40">
        <f>IF(E34="XX","XX",100.45+33.193*AE34+2.319*AE34^2+0.17074*AE34^3+1.2063*(AD34*0.4897705)^3)</f>
        <v>62.55223690424495</v>
      </c>
      <c r="O34" s="41">
        <f>IF(E34="XX","XX ",((1093-0.556*M34)*AA34-0.24*(L34-M34))/(1093+0.444*L34-M34))</f>
        <v>1.3126735700861085E-2</v>
      </c>
      <c r="P34" s="42">
        <f xml:space="preserve"> IF(E34="XX", "XX", ((O34/AF34)/(1-(1-(O34/AF34))*(AB34/J34)))*100)</f>
        <v>38.839566252032817</v>
      </c>
      <c r="Q34" s="43">
        <f xml:space="preserve"> IF(E34="XX", "XX", 0.7543*(T34*(1+1.6078*O34))/H34)</f>
        <v>14.868798532748341</v>
      </c>
      <c r="R34" s="34">
        <f xml:space="preserve"> IF(E34="XX", "XX", 1/Q34)</f>
        <v>6.7254929697077581E-2</v>
      </c>
      <c r="S34" s="57">
        <f>IF(E34="XX", "XX", 0.24*L34+O34*(1061+0.444*L34))</f>
        <v>36.546902578564151</v>
      </c>
      <c r="T34" s="44">
        <f>IF(E34="XX", "XX", L34+459.7)</f>
        <v>551.71316000000002</v>
      </c>
      <c r="U34" s="133">
        <f>IF(E34="XX", "XX", M34+459.7)</f>
        <v>531.71316000000002</v>
      </c>
      <c r="X34" s="147">
        <f t="shared" si="13"/>
        <v>15</v>
      </c>
      <c r="Y34" s="34">
        <f>D34</f>
        <v>58</v>
      </c>
      <c r="Z34" s="41">
        <f xml:space="preserve"> IF(E34="XX", "XX", EXP((-10440.397/U34)+(-11.29465) + (-0.027022355*U34) + (0.00001289036*U34*U34) + (-0.0000000024780681*U34^3)+(6.5459673*LN(U34))) )</f>
        <v>0.38938737262395445</v>
      </c>
      <c r="AA34" s="39">
        <f>IF(E34="XX", "XX", 0.62198*Z34/(J34-Z34))</f>
        <v>1.779601299887856E-2</v>
      </c>
      <c r="AB34" s="41">
        <f xml:space="preserve"> IF(E34="XX", "XX", EXP((-10440.397/T34)+(-11.29465) + (-0.027022355*T34) + (0.00001289036*T34*T34) + (-0.0000000024780681*T34^3)+(6.5459673*LN(T34))) )</f>
        <v>0.74494250281470065</v>
      </c>
      <c r="AC34" s="39">
        <f>IF(E34="XX", "XX", AB34*2.041772658 )</f>
        <v>1.5210032340291439</v>
      </c>
      <c r="AD34" s="39">
        <f>IF(E34="XX", "XX", (H34*O34)/(0.62198+O34))</f>
        <v>0.59069333372233013</v>
      </c>
      <c r="AE34" s="39">
        <f>IF(E34="XX", "XX", LN(AD34*0.4897705))</f>
        <v>-1.2402766550615478</v>
      </c>
      <c r="AF34" s="140">
        <f>IF(E34="XX", "XX", 0.62198*(AB34/(J34-AB34)))</f>
        <v>3.4959144112601349E-2</v>
      </c>
      <c r="AH34" s="473">
        <f xml:space="preserve"> IF(D34="XX", "XX", E34- $D$4)</f>
        <v>839</v>
      </c>
      <c r="AI34" s="154">
        <f xml:space="preserve"> IF(D34="XX", "XX", $AN$3 * R34 * (T34-$T$7)/$T$7 * $AP$3 * ($H$4-AH34))</f>
        <v>-7.5953456167079294E-3</v>
      </c>
      <c r="AJ34" s="154">
        <f xml:space="preserve"> IF(D34="XX", "XX", $AR$3 * $AN$4^2 * $AR$4 * R34 * K34^2/2)</f>
        <v>3.0605542965572431E-4</v>
      </c>
      <c r="AK34" s="154">
        <f xml:space="preserve"> IF(D34="XX", "XX", AI34 +AJ34)</f>
        <v>-7.2892901870522048E-3</v>
      </c>
      <c r="AL34" s="154">
        <f xml:space="preserve"> IF(D34="XX", "XX", AK34 +$AK$31)</f>
        <v>-2.2892901870522047E-3</v>
      </c>
      <c r="AM34" s="26">
        <f xml:space="preserve"> IF(D34="XX", "XX", 60 * ($AP$4 * $AN$31 * (2 * ABS(AL34)/R34)^0.5))</f>
        <v>293.06263789977027</v>
      </c>
      <c r="AN34" s="27" t="str">
        <f>IF(D34="XX", "XX", IF(AL34&lt;0, "Exfl", "Infl"))</f>
        <v>Exfl</v>
      </c>
      <c r="AO34" s="26">
        <f t="shared" ref="AO34:AO36" si="15" xml:space="preserve"> IF(AN34="Infl", -AM34, AM34)</f>
        <v>293.06263789977027</v>
      </c>
      <c r="AP34" s="474">
        <f>IF(D34="XX", "XX", AO34/$K$10)</f>
        <v>3.4888409273782173E-2</v>
      </c>
      <c r="AQ34" s="26">
        <f t="shared" ref="AQ34:AQ36" si="16">IF(D34="XX", "XX", AO34*1.08*(L34-$L$8))</f>
        <v>5384.795272499724</v>
      </c>
      <c r="AR34" s="392">
        <f xml:space="preserve"> IF(D34="XX", "XX", AO34 * 1.08 * 3000/1000)</f>
        <v>949.52294679525573</v>
      </c>
    </row>
    <row r="35" spans="2:44" ht="19.05" customHeight="1">
      <c r="B35" s="134">
        <f>'Input-Output'!AI19</f>
        <v>14</v>
      </c>
      <c r="C35" s="36">
        <f>'Input-Output'!AJ19</f>
        <v>3</v>
      </c>
      <c r="D35" s="36">
        <f>'Input-Output'!AK19</f>
        <v>56</v>
      </c>
      <c r="E35" s="36">
        <f>'Input-Output'!AL19</f>
        <v>1309</v>
      </c>
      <c r="F35" s="36">
        <f>'Input-Output'!AM19</f>
        <v>398.98320000000001</v>
      </c>
      <c r="G35" s="38">
        <f t="shared" si="14"/>
        <v>96.623190421253597</v>
      </c>
      <c r="H35" s="38">
        <f xml:space="preserve"> IF(E35="XX", "XX", G35*$AB$3)</f>
        <v>28.610613121377433</v>
      </c>
      <c r="I35" s="38">
        <f>IF(E35="XX", "XX", G35*$AD$3)</f>
        <v>388.28664598948541</v>
      </c>
      <c r="J35" s="38">
        <f xml:space="preserve"> IF(E35="XX", "XX",G35*$AF$3)</f>
        <v>14.014003449177856</v>
      </c>
      <c r="K35" s="38">
        <f xml:space="preserve"> IF(E35="XX", "XX", ( $K$65 + $U$4 * (E35-$D$4)/$F$4 ) )</f>
        <v>8.0901451489686789</v>
      </c>
      <c r="L35" s="33">
        <f xml:space="preserve"> IF(E35="XX", "XX", $L$65 - 0.00356*(E35-$E$65))</f>
        <v>92.119960000000006</v>
      </c>
      <c r="M35" s="33">
        <f>IF(E35="XX","XX ", $M$65-0.00356*(E35-$E$65))</f>
        <v>72.119960000000006</v>
      </c>
      <c r="N35" s="40">
        <f>IF(E35="XX","XX",100.45+33.193*AE35+2.319*AE35^2+0.17074*AE35^3+1.2063*(AD35*0.4897705)^3)</f>
        <v>62.679198619965447</v>
      </c>
      <c r="O35" s="41">
        <f>IF(E35="XX","XX ",((1093-0.556*M35)*AA35-0.24*(L35-M35))/(1093+0.444*L35-M35))</f>
        <v>1.3172233754867309E-2</v>
      </c>
      <c r="P35" s="42">
        <f xml:space="preserve"> IF(E35="XX", "XX", ((O35/AF35)/(1-(1-(O35/AF35))*(AB35/J35)))*100)</f>
        <v>38.88469989584776</v>
      </c>
      <c r="Q35" s="43">
        <f xml:space="preserve"> IF(E35="XX", "XX", 0.7543*(T35*(1+1.6078*O35))/H35)</f>
        <v>14.856480362431075</v>
      </c>
      <c r="R35" s="34">
        <f xml:space="preserve"> IF(E35="XX", "XX", 1/Q35)</f>
        <v>6.7310693758179121E-2</v>
      </c>
      <c r="S35" s="57">
        <f>IF(E35="XX", "XX", 0.24*L35+O35*(1061+0.444*L35))</f>
        <v>36.623291401008622</v>
      </c>
      <c r="T35" s="44">
        <f>IF(E35="XX", "XX", L35+459.7)</f>
        <v>551.81996000000004</v>
      </c>
      <c r="U35" s="133">
        <f>IF(E35="XX", "XX", M35+459.7)</f>
        <v>531.81996000000004</v>
      </c>
      <c r="X35" s="147">
        <f t="shared" si="13"/>
        <v>14</v>
      </c>
      <c r="Y35" s="34">
        <f>D35</f>
        <v>56</v>
      </c>
      <c r="Z35" s="41">
        <f xml:space="preserve"> IF(E35="XX", "XX", EXP((-10440.397/U35)+(-11.29465) + (-0.027022355*U35) + (0.00001289036*U35*U35) + (-0.0000000024780681*U35^3)+(6.5459673*LN(U35))) )</f>
        <v>0.39079619568673757</v>
      </c>
      <c r="AA35" s="39">
        <f>IF(E35="XX", "XX", 0.62198*Z35/(J35-Z35))</f>
        <v>1.7842158110818428E-2</v>
      </c>
      <c r="AB35" s="41">
        <f xml:space="preserve"> IF(E35="XX", "XX", EXP((-10440.397/T35)+(-11.29465) + (-0.027022355*T35) + (0.00001289036*T35*T35) + (-0.0000000024780681*T35^3)+(6.5459673*LN(T35))) )</f>
        <v>0.747420607563415</v>
      </c>
      <c r="AC35" s="39">
        <f>IF(E35="XX", "XX", AB35*2.041772658 )</f>
        <v>1.5260629605487288</v>
      </c>
      <c r="AD35" s="39">
        <f>IF(E35="XX", "XX", (H35*O35)/(0.62198+O35))</f>
        <v>0.59334701804781198</v>
      </c>
      <c r="AE35" s="39">
        <f>IF(E35="XX", "XX", LN(AD35*0.4897705))</f>
        <v>-1.2357942254472125</v>
      </c>
      <c r="AF35" s="140">
        <f>IF(E35="XX", "XX", 0.62198*(AB35/(J35-AB35)))</f>
        <v>3.5041477902965433E-2</v>
      </c>
      <c r="AH35" s="473">
        <f xml:space="preserve"> IF(D35="XX", "XX", E35- $D$4)</f>
        <v>809</v>
      </c>
      <c r="AI35" s="154">
        <f xml:space="preserve"> IF(D35="XX", "XX", $AN$3 * R35 * (T35-$T$7)/$T$7 * $AP$3 * ($H$4-AH35))</f>
        <v>-6.4055637379170586E-3</v>
      </c>
      <c r="AJ35" s="154">
        <f xml:space="preserve"> IF(D35="XX", "XX", $AR$3 * $AN$4^2 * $AR$4 * R35 * K35^2/2)</f>
        <v>2.9781282058635473E-4</v>
      </c>
      <c r="AK35" s="154">
        <f xml:space="preserve"> IF(D35="XX", "XX", AI35 +AJ35)</f>
        <v>-6.1077509173307039E-3</v>
      </c>
      <c r="AL35" s="154">
        <f xml:space="preserve"> IF(D35="XX", "XX", AK35 +$AK$31)</f>
        <v>-1.1077509173307038E-3</v>
      </c>
      <c r="AM35" s="26">
        <f xml:space="preserve"> IF(D35="XX", "XX", 60 * ($AP$4 * $AN$31 * (2 * ABS(AL35)/R35)^0.5))</f>
        <v>203.77510162885923</v>
      </c>
      <c r="AN35" s="27" t="str">
        <f>IF(D35="XX", "XX", IF(AL35&lt;0, "Exfl", "Infl"))</f>
        <v>Exfl</v>
      </c>
      <c r="AO35" s="26">
        <f t="shared" si="15"/>
        <v>203.77510162885923</v>
      </c>
      <c r="AP35" s="474">
        <f>IF(D35="XX", "XX", AO35/$K$10)</f>
        <v>2.4258940670102289E-2</v>
      </c>
      <c r="AQ35" s="26">
        <f t="shared" si="16"/>
        <v>3767.7113159925671</v>
      </c>
      <c r="AR35" s="392">
        <f xml:space="preserve"> IF(D35="XX", "XX", AO35 * 1.08 * 3000/1000)</f>
        <v>660.23132927750396</v>
      </c>
    </row>
    <row r="36" spans="2:44" ht="19.05" customHeight="1" thickBot="1">
      <c r="B36" s="135">
        <f>'Input-Output'!AI20</f>
        <v>13</v>
      </c>
      <c r="C36" s="102">
        <f>'Input-Output'!AJ20</f>
        <v>1</v>
      </c>
      <c r="D36" s="102">
        <f>'Input-Output'!AK20</f>
        <v>54</v>
      </c>
      <c r="E36" s="102">
        <f>'Input-Output'!AL20</f>
        <v>1279</v>
      </c>
      <c r="F36" s="102">
        <f>'Input-Output'!AM20</f>
        <v>389.83920000000001</v>
      </c>
      <c r="G36" s="103">
        <f t="shared" si="14"/>
        <v>96.728931854780527</v>
      </c>
      <c r="H36" s="103">
        <f xml:space="preserve"> IF(E36="XX", "XX", G36*$AB$3)</f>
        <v>28.641923692187081</v>
      </c>
      <c r="I36" s="103">
        <f>IF(E36="XX", "XX", G36*$AD$3)</f>
        <v>388.71157489513723</v>
      </c>
      <c r="J36" s="103">
        <f xml:space="preserve"> IF(E36="XX", "XX",G36*$AF$3)</f>
        <v>14.029339941459957</v>
      </c>
      <c r="K36" s="103">
        <f xml:space="preserve"> IF(E36="XX", "XX", ( $K$65 + $U$4 * (E36-$D$4)/$F$4 ) )</f>
        <v>7.9755538579067995</v>
      </c>
      <c r="L36" s="123">
        <f xml:space="preserve"> IF(E36="XX", "XX", $L$65 - 0.00356*(E36-$E$65))</f>
        <v>92.226759999999999</v>
      </c>
      <c r="M36" s="123">
        <f>IF(E36="XX","XX ", $M$65-0.00356*(E36-$E$65))</f>
        <v>72.226759999999999</v>
      </c>
      <c r="N36" s="124">
        <f>IF(E36="XX","XX",100.45+33.193*AE36+2.319*AE36^2+0.17074*AE36^3+1.2063*(AD36*0.4897705)^3)</f>
        <v>62.806090646642261</v>
      </c>
      <c r="O36" s="125">
        <f>IF(E36="XX","XX ",((1093-0.556*M36)*AA36-0.24*(L36-M36))/(1093+0.444*L36-M36))</f>
        <v>1.321782786980116E-2</v>
      </c>
      <c r="P36" s="126">
        <f xml:space="preserve"> IF(E36="XX", "XX", ((O36/AF36)/(1-(1-(O36/AF36))*(AB36/J36)))*100)</f>
        <v>38.929746817877913</v>
      </c>
      <c r="Q36" s="127">
        <f xml:space="preserve"> IF(E36="XX", "XX", 0.7543*(T36*(1+1.6078*O36))/H36)</f>
        <v>14.844177389666037</v>
      </c>
      <c r="R36" s="128">
        <f xml:space="preserve"> IF(E36="XX", "XX", 1/Q36)</f>
        <v>6.7366481398704034E-2</v>
      </c>
      <c r="S36" s="129">
        <f>IF(E36="XX", "XX", 0.24*L36+O36*(1061+0.444*L36))</f>
        <v>36.699790392628273</v>
      </c>
      <c r="T36" s="130">
        <f>IF(E36="XX", "XX", L36+459.7)</f>
        <v>551.92675999999994</v>
      </c>
      <c r="U36" s="131">
        <f>IF(E36="XX", "XX", M36+459.7)</f>
        <v>531.92675999999994</v>
      </c>
      <c r="X36" s="148">
        <f t="shared" si="13"/>
        <v>13</v>
      </c>
      <c r="Y36" s="128">
        <f>D36</f>
        <v>54</v>
      </c>
      <c r="Z36" s="125">
        <f xml:space="preserve"> IF(E36="XX", "XX", EXP((-10440.397/U36)+(-11.29465) + (-0.027022355*U36) + (0.00001289036*U36*U36) + (-0.0000000024780681*U36^3)+(6.5459673*LN(U36))) )</f>
        <v>0.3922094713297522</v>
      </c>
      <c r="AA36" s="142">
        <f>IF(E36="XX", "XX", 0.62198*Z36/(J36-Z36))</f>
        <v>1.7888400166882767E-2</v>
      </c>
      <c r="AB36" s="125">
        <f xml:space="preserve"> IF(E36="XX", "XX", EXP((-10440.397/T36)+(-11.29465) + (-0.027022355*T36) + (0.00001289036*T36*T36) + (-0.0000000024780681*T36^3)+(6.5459673*LN(T36))) )</f>
        <v>0.74990585943736809</v>
      </c>
      <c r="AC36" s="142">
        <f>IF(E36="XX", "XX", AB36*2.041772658 )</f>
        <v>1.5311372798732095</v>
      </c>
      <c r="AD36" s="142">
        <f>IF(E36="XX", "XX", (H36*O36)/(0.62198+O36))</f>
        <v>0.59600962190460816</v>
      </c>
      <c r="AE36" s="142">
        <f>IF(E36="XX", "XX", LN(AD36*0.4897705))</f>
        <v>-1.2313168328545034</v>
      </c>
      <c r="AF36" s="149">
        <f>IF(E36="XX", "XX", 0.62198*(AB36/(J36-AB36)))</f>
        <v>3.5123970161069752E-2</v>
      </c>
      <c r="AH36" s="475">
        <f xml:space="preserve"> IF(D36="XX", "XX", E36- $D$4)</f>
        <v>779</v>
      </c>
      <c r="AI36" s="1">
        <f xml:space="preserve"> IF(D36="XX", "XX", $AN$3 * R36 * (T36-$T$7)/$T$7 * $AP$3 * ($H$4-AH36))</f>
        <v>-5.1982705593598671E-3</v>
      </c>
      <c r="AJ36" s="1">
        <f xml:space="preserve"> IF(D36="XX", "XX", $AR$3 * $AN$4^2 * $AR$4 * R36 * K36^2/2)</f>
        <v>2.8967583305779211E-4</v>
      </c>
      <c r="AK36" s="1">
        <f xml:space="preserve"> IF(D36="XX", "XX", AI36 +AJ36)</f>
        <v>-4.9085947263020745E-3</v>
      </c>
      <c r="AL36" s="1">
        <f xml:space="preserve"> IF(D36="XX", "XX", AK36 +$AK$31)</f>
        <v>9.1405273697925567E-5</v>
      </c>
      <c r="AM36" s="28">
        <f xml:space="preserve"> IF(D36="XX", "XX", 60 * ($AP$4 * $AN$31 * (2 * ABS(AL36)/R36)^0.5))</f>
        <v>58.510766451600709</v>
      </c>
      <c r="AN36" s="29" t="str">
        <f>IF(D36="XX", "XX", IF(AL36&lt;0, "Exfl", "Infl"))</f>
        <v>Infl</v>
      </c>
      <c r="AO36" s="28">
        <f t="shared" si="15"/>
        <v>-58.510766451600709</v>
      </c>
      <c r="AP36" s="476">
        <f>IF(D36="XX", "XX", AO36/$K$10)</f>
        <v>-6.9655674347143702E-3</v>
      </c>
      <c r="AQ36" s="28">
        <f t="shared" si="16"/>
        <v>-1088.5870055639991</v>
      </c>
      <c r="AR36" s="397">
        <f xml:space="preserve"> IF(D36="XX", "XX", AO36 * 1.08 * 3000/1000)</f>
        <v>-189.57488330318631</v>
      </c>
    </row>
    <row r="37" spans="2:44" ht="19.05" customHeight="1">
      <c r="B37" s="12"/>
      <c r="C37" s="12"/>
      <c r="D37" s="12"/>
      <c r="E37" s="12"/>
      <c r="F37" s="12"/>
      <c r="G37" s="14"/>
      <c r="H37" s="14"/>
      <c r="I37" s="14"/>
      <c r="J37" s="14"/>
      <c r="K37" s="14"/>
      <c r="L37" s="9"/>
      <c r="M37" s="9"/>
      <c r="N37" s="18"/>
      <c r="O37" s="19"/>
      <c r="P37" s="20"/>
      <c r="Q37" s="21"/>
      <c r="R37" s="10"/>
      <c r="S37" s="56"/>
      <c r="T37" s="22"/>
      <c r="U37" s="22"/>
      <c r="Z37" s="19"/>
      <c r="AA37" s="15"/>
      <c r="AB37" s="19"/>
      <c r="AC37" s="15"/>
      <c r="AD37" s="15"/>
      <c r="AE37" s="15"/>
      <c r="AF37" s="19"/>
      <c r="AH37" s="58"/>
      <c r="AI37" s="151"/>
      <c r="AJ37" s="151"/>
      <c r="AK37" s="151"/>
      <c r="AL37" s="151"/>
      <c r="AM37" s="153"/>
      <c r="AN37" s="16"/>
      <c r="AO37" s="153"/>
      <c r="AP37" s="152"/>
      <c r="AQ37" s="153"/>
      <c r="AR37" s="153"/>
    </row>
    <row r="38" spans="2:44" ht="19.05" customHeight="1" thickBot="1">
      <c r="B38" s="66" t="str">
        <f>'Input-Output'!AK21</f>
        <v>4-k</v>
      </c>
      <c r="E38" s="13" t="s">
        <v>121</v>
      </c>
      <c r="F38" s="23"/>
      <c r="G38" s="115">
        <f>'Input-Output'!AC22</f>
        <v>40</v>
      </c>
      <c r="H38" s="435" t="s">
        <v>122</v>
      </c>
      <c r="I38" s="436"/>
      <c r="J38" s="436"/>
      <c r="K38" s="116">
        <f>'Input-Output'!AC32</f>
        <v>9720</v>
      </c>
      <c r="X38" s="75" t="str">
        <f t="shared" ref="X38:X45" si="17">B38</f>
        <v>4-k</v>
      </c>
      <c r="Z38" s="61" t="s">
        <v>125</v>
      </c>
      <c r="AA38" s="56"/>
      <c r="AB38" s="117">
        <f>'Input-Output'!AC24</f>
        <v>0.25</v>
      </c>
      <c r="AC38" s="62" t="s">
        <v>123</v>
      </c>
      <c r="AD38" s="19"/>
      <c r="AE38" s="117">
        <f>'Input-Output'!AC25</f>
        <v>0.6</v>
      </c>
      <c r="AH38" s="68" t="s">
        <v>124</v>
      </c>
      <c r="AK38" s="118">
        <f>'Input-Output'!AC26</f>
        <v>5.0000000000000001E-3</v>
      </c>
      <c r="AL38" s="150" t="s">
        <v>141</v>
      </c>
      <c r="AM38" s="151"/>
      <c r="AN38" s="155">
        <f>'Input-Output'!AC33</f>
        <v>24.3</v>
      </c>
      <c r="AO38" s="180" t="s">
        <v>222</v>
      </c>
      <c r="AP38" s="152"/>
      <c r="AR38" s="155">
        <f>SUM(AR41:AR45)/12</f>
        <v>-807.03274916314433</v>
      </c>
    </row>
    <row r="39" spans="2:44" ht="19.05" customHeight="1">
      <c r="B39" s="162" t="s">
        <v>58</v>
      </c>
      <c r="C39" s="168" t="s">
        <v>118</v>
      </c>
      <c r="D39" s="163" t="s">
        <v>117</v>
      </c>
      <c r="E39" s="169" t="s">
        <v>66</v>
      </c>
      <c r="F39" s="163"/>
      <c r="G39" s="170" t="s">
        <v>57</v>
      </c>
      <c r="H39" s="171"/>
      <c r="I39" s="171"/>
      <c r="J39" s="171"/>
      <c r="K39" s="171" t="s">
        <v>60</v>
      </c>
      <c r="L39" s="172" t="s">
        <v>20</v>
      </c>
      <c r="M39" s="172" t="s">
        <v>21</v>
      </c>
      <c r="N39" s="172" t="s">
        <v>36</v>
      </c>
      <c r="O39" s="145" t="s">
        <v>40</v>
      </c>
      <c r="P39" s="145" t="s">
        <v>37</v>
      </c>
      <c r="Q39" s="145" t="s">
        <v>38</v>
      </c>
      <c r="R39" s="145" t="s">
        <v>39</v>
      </c>
      <c r="S39" s="145" t="s">
        <v>41</v>
      </c>
      <c r="T39" s="145" t="s">
        <v>42</v>
      </c>
      <c r="U39" s="146" t="s">
        <v>43</v>
      </c>
      <c r="X39" s="166" t="str">
        <f t="shared" si="17"/>
        <v>Level</v>
      </c>
      <c r="Y39" s="163" t="str">
        <f t="shared" ref="Y39:Y45" si="18">D39</f>
        <v>Bldg</v>
      </c>
      <c r="Z39" s="164" t="s">
        <v>142</v>
      </c>
      <c r="AA39" s="145"/>
      <c r="AB39" s="145"/>
      <c r="AC39" s="145"/>
      <c r="AD39" s="145"/>
      <c r="AE39" s="145"/>
      <c r="AF39" s="146"/>
      <c r="AH39" s="465" t="s">
        <v>76</v>
      </c>
      <c r="AI39" s="466" t="s">
        <v>68</v>
      </c>
      <c r="AJ39" s="466" t="s">
        <v>71</v>
      </c>
      <c r="AK39" s="466" t="s">
        <v>72</v>
      </c>
      <c r="AL39" s="466" t="s">
        <v>73</v>
      </c>
      <c r="AM39" s="467" t="s">
        <v>74</v>
      </c>
      <c r="AN39" s="468" t="s">
        <v>77</v>
      </c>
      <c r="AO39" s="467" t="s">
        <v>79</v>
      </c>
      <c r="AP39" s="469" t="s">
        <v>80</v>
      </c>
      <c r="AQ39" s="467" t="s">
        <v>197</v>
      </c>
      <c r="AR39" s="470" t="s">
        <v>199</v>
      </c>
    </row>
    <row r="40" spans="2:44" ht="19.05" customHeight="1">
      <c r="B40" s="173" t="s">
        <v>31</v>
      </c>
      <c r="C40" s="174" t="s">
        <v>59</v>
      </c>
      <c r="D40" s="174" t="s">
        <v>59</v>
      </c>
      <c r="E40" s="175" t="s">
        <v>14</v>
      </c>
      <c r="F40" s="175" t="s">
        <v>15</v>
      </c>
      <c r="G40" s="176" t="s">
        <v>18</v>
      </c>
      <c r="H40" s="176" t="s">
        <v>17</v>
      </c>
      <c r="I40" s="176" t="s">
        <v>19</v>
      </c>
      <c r="J40" s="176" t="s">
        <v>16</v>
      </c>
      <c r="K40" s="176" t="s">
        <v>61</v>
      </c>
      <c r="L40" s="177" t="s">
        <v>44</v>
      </c>
      <c r="M40" s="177" t="s">
        <v>44</v>
      </c>
      <c r="N40" s="177" t="s">
        <v>44</v>
      </c>
      <c r="O40" s="174" t="s">
        <v>47</v>
      </c>
      <c r="P40" s="174" t="s">
        <v>45</v>
      </c>
      <c r="Q40" s="174" t="s">
        <v>46</v>
      </c>
      <c r="R40" s="174" t="s">
        <v>22</v>
      </c>
      <c r="S40" s="174" t="s">
        <v>48</v>
      </c>
      <c r="T40" s="174" t="s">
        <v>49</v>
      </c>
      <c r="U40" s="178" t="s">
        <v>49</v>
      </c>
      <c r="X40" s="167" t="str">
        <f t="shared" si="17"/>
        <v>ID No.</v>
      </c>
      <c r="Y40" s="72" t="str">
        <f t="shared" si="18"/>
        <v>Flr No.</v>
      </c>
      <c r="Z40" s="73" t="s">
        <v>50</v>
      </c>
      <c r="AA40" s="73" t="s">
        <v>51</v>
      </c>
      <c r="AB40" s="73" t="s">
        <v>52</v>
      </c>
      <c r="AC40" s="73" t="s">
        <v>53</v>
      </c>
      <c r="AD40" s="73" t="s">
        <v>54</v>
      </c>
      <c r="AE40" s="73" t="s">
        <v>55</v>
      </c>
      <c r="AF40" s="74" t="s">
        <v>56</v>
      </c>
      <c r="AH40" s="471" t="s">
        <v>140</v>
      </c>
      <c r="AI40" s="159" t="s">
        <v>19</v>
      </c>
      <c r="AJ40" s="159" t="s">
        <v>19</v>
      </c>
      <c r="AK40" s="160" t="s">
        <v>86</v>
      </c>
      <c r="AL40" s="161" t="s">
        <v>87</v>
      </c>
      <c r="AM40" s="158" t="s">
        <v>75</v>
      </c>
      <c r="AN40" s="157" t="s">
        <v>78</v>
      </c>
      <c r="AO40" s="158" t="s">
        <v>75</v>
      </c>
      <c r="AP40" s="160" t="s">
        <v>81</v>
      </c>
      <c r="AQ40" s="158" t="s">
        <v>204</v>
      </c>
      <c r="AR40" s="472" t="s">
        <v>200</v>
      </c>
    </row>
    <row r="41" spans="2:44" ht="19.05" customHeight="1">
      <c r="B41" s="134">
        <f>'Input-Output'!AI22</f>
        <v>12</v>
      </c>
      <c r="C41" s="36">
        <f>'Input-Output'!AJ22</f>
        <v>30</v>
      </c>
      <c r="D41" s="36">
        <f>'Input-Output'!AK22</f>
        <v>36</v>
      </c>
      <c r="E41" s="36">
        <f>'Input-Output'!AL22</f>
        <v>1109</v>
      </c>
      <c r="F41" s="36">
        <f>'Input-Output'!AM22</f>
        <v>338.02320000000003</v>
      </c>
      <c r="G41" s="38">
        <f t="shared" ref="G41:G45" si="19">IF(E41="XX","XX",((101325*(1-2.25577*(10^(-5))*F41)^5.2555)/1000))</f>
        <v>97.3299047222837</v>
      </c>
      <c r="H41" s="38">
        <f xml:space="preserve"> IF(E41="XX", "XX", G41*$AB$3)</f>
        <v>28.81987478377923</v>
      </c>
      <c r="I41" s="38">
        <f>IF(E41="XX", "XX", G41*$AD$3)</f>
        <v>391.12662389151319</v>
      </c>
      <c r="J41" s="38">
        <f xml:space="preserve"> IF(E41="XX", "XX",G41*$AF$3)</f>
        <v>14.116503652380015</v>
      </c>
      <c r="K41" s="38">
        <f xml:space="preserve"> IF(E41="XX", "XX", ( $K$65 + $U$4 * (E41-$D$4)/$F$4 ) )</f>
        <v>7.3262032085561497</v>
      </c>
      <c r="L41" s="33">
        <f xml:space="preserve"> IF(E41="XX", "XX", $L$65 - 0.00356*(E41-$E$65))</f>
        <v>92.831959999999995</v>
      </c>
      <c r="M41" s="33">
        <f>IF(E41="XX","XX ", $M$65-0.00356*(E41-$E$65))</f>
        <v>72.831959999999995</v>
      </c>
      <c r="N41" s="40">
        <f>IF(E41="XX","XX",100.45+33.193*AE41+2.319*AE41^2+0.17074*AE41^3+1.2063*(AD41*0.4897705)^3)</f>
        <v>63.523850319169739</v>
      </c>
      <c r="O41" s="41">
        <f>IF(E41="XX","XX ",((1093-0.556*M41)*AA41-0.24*(L41-M41))/(1093+0.444*L41-M41))</f>
        <v>1.347801639983711E-2</v>
      </c>
      <c r="P41" s="42">
        <f xml:space="preserve"> IF(E41="XX", "XX", ((O41/AF41)/(1-(1-(O41/AF41))*(AB41/J41)))*100)</f>
        <v>39.183387222152092</v>
      </c>
      <c r="Q41" s="43">
        <f xml:space="preserve"> IF(E41="XX", "XX", 0.7543*(T41*(1+1.6078*O41))/H41)</f>
        <v>14.774746695860722</v>
      </c>
      <c r="R41" s="34">
        <f xml:space="preserve"> IF(E41="XX", "XX", 1/Q41)</f>
        <v>6.7683055458416685E-2</v>
      </c>
      <c r="S41" s="57">
        <f>IF(E41="XX", "XX", 0.24*L41+O41*(1061+0.444*L41))</f>
        <v>37.135374461840378</v>
      </c>
      <c r="T41" s="44">
        <f>IF(E41="XX", "XX", L41+459.7)</f>
        <v>552.53196000000003</v>
      </c>
      <c r="U41" s="133">
        <f>IF(E41="XX", "XX", M41+459.7)</f>
        <v>532.53196000000003</v>
      </c>
      <c r="X41" s="147">
        <f t="shared" si="17"/>
        <v>12</v>
      </c>
      <c r="Y41" s="34">
        <f t="shared" si="18"/>
        <v>36</v>
      </c>
      <c r="Z41" s="41">
        <f xml:space="preserve"> IF(E41="XX", "XX", EXP((-10440.397/U41)+(-11.29465) + (-0.027022355*U41) + (0.00001289036*U41*U41) + (-0.0000000024780681*U41^3)+(6.5459673*LN(U41))) )</f>
        <v>0.40030271142573287</v>
      </c>
      <c r="AA41" s="39">
        <f>IF(E41="XX", "XX", 0.62198*Z41/(J41-Z41))</f>
        <v>1.8152277115535968E-2</v>
      </c>
      <c r="AB41" s="41">
        <f xml:space="preserve"> IF(E41="XX", "XX", EXP((-10440.397/T41)+(-11.29465) + (-0.027022355*T41) + (0.00001289036*T41*T41) + (-0.0000000024780681*T41^3)+(6.5459673*LN(T41))) )</f>
        <v>0.76412478487559765</v>
      </c>
      <c r="AC41" s="39">
        <f>IF(E41="XX", "XX", AB41*2.041772658 )</f>
        <v>1.5601690930591274</v>
      </c>
      <c r="AD41" s="39">
        <f>IF(E41="XX", "XX", (H41*O41)/(0.62198+O41))</f>
        <v>0.61126736141860405</v>
      </c>
      <c r="AE41" s="39">
        <f>IF(E41="XX", "XX", LN(AD41*0.4897705))</f>
        <v>-1.206039200400246</v>
      </c>
      <c r="AF41" s="140">
        <f>IF(E41="XX", "XX", 0.62198*(AB41/(J41-AB41)))</f>
        <v>3.5594431405297076E-2</v>
      </c>
      <c r="AH41" s="473">
        <f xml:space="preserve"> IF(D41="XX", "XX", E41- $D$4)</f>
        <v>609</v>
      </c>
      <c r="AI41" s="154">
        <f xml:space="preserve"> IF(D41="XX", "XX", $AN$3 * R41 * (T41-$T$7)/$T$7 * $AP$3 * ($H$4-AH41))</f>
        <v>1.9757522938478041E-3</v>
      </c>
      <c r="AJ41" s="154">
        <f xml:space="preserve"> IF(D41="XX", "XX", $AR$3 * $AN$4^2 * $AR$4 * R41 * K41^2/2)</f>
        <v>2.4557523781055781E-4</v>
      </c>
      <c r="AK41" s="154">
        <f xml:space="preserve"> IF(D41="XX", "XX", AI41 +AJ41)</f>
        <v>2.2213275316583618E-3</v>
      </c>
      <c r="AL41" s="154">
        <f xml:space="preserve"> IF(D41="XX", "XX", AK41 +$AK$38)</f>
        <v>7.2213275316583619E-3</v>
      </c>
      <c r="AM41" s="26">
        <f xml:space="preserve"> IF(D41="XX", "XX", 60 * ($AP$4 * $AN$38 * (2 * ABS(AL41)/R41)^0.5))</f>
        <v>437.77849317583224</v>
      </c>
      <c r="AN41" s="27" t="str">
        <f>IF(D41="XX", "XX", IF(AL41&lt;0, "Exfl", "Infl"))</f>
        <v>Infl</v>
      </c>
      <c r="AO41" s="26">
        <f t="shared" ref="AO41" si="20" xml:space="preserve"> IF(AN41="Infl", -AM41, AM41)</f>
        <v>-437.77849317583224</v>
      </c>
      <c r="AP41" s="474">
        <f>IF(D41="XX", "XX", AO41/$K$10)</f>
        <v>-5.2116487282837173E-2</v>
      </c>
      <c r="AQ41" s="26">
        <f t="shared" ref="AQ41:AQ45" si="21">IF(D41="XX", "XX", AO41*1.08*(L41-$L$8))</f>
        <v>-8430.964465505449</v>
      </c>
      <c r="AR41" s="392">
        <f xml:space="preserve"> IF(D41="XX", "XX", AO41 * 1.08 * 3000/1000)</f>
        <v>-1418.4023178896966</v>
      </c>
    </row>
    <row r="42" spans="2:44" ht="19.05" customHeight="1">
      <c r="B42" s="134">
        <f>'Input-Output'!AI23</f>
        <v>11</v>
      </c>
      <c r="C42" s="36">
        <f>'Input-Output'!AJ23</f>
        <v>25</v>
      </c>
      <c r="D42" s="36">
        <f>'Input-Output'!AK23</f>
        <v>31</v>
      </c>
      <c r="E42" s="36">
        <f>'Input-Output'!AL23</f>
        <v>1041.5</v>
      </c>
      <c r="F42" s="36">
        <f>'Input-Output'!AM23</f>
        <v>317.44920000000002</v>
      </c>
      <c r="G42" s="38">
        <f t="shared" si="19"/>
        <v>97.569363217776953</v>
      </c>
      <c r="H42" s="38">
        <f xml:space="preserve"> IF(E42="XX", "XX", G42*$AB$3)</f>
        <v>28.890779649819315</v>
      </c>
      <c r="I42" s="38">
        <f>IF(E42="XX", "XX", G42*$AD$3)</f>
        <v>392.08890360576601</v>
      </c>
      <c r="J42" s="38">
        <f xml:space="preserve"> IF(E42="XX", "XX",G42*$AF$3)</f>
        <v>14.151234157211691</v>
      </c>
      <c r="K42" s="38">
        <f xml:space="preserve"> IF(E42="XX", "XX", ( $K$65 + $U$4 * (E42-$D$4)/$F$4 ) )</f>
        <v>7.0683728036669216</v>
      </c>
      <c r="L42" s="33">
        <f xml:space="preserve"> IF(E42="XX", "XX", $L$65 - 0.00356*(E42-$E$65))</f>
        <v>93.07226</v>
      </c>
      <c r="M42" s="33">
        <f>IF(E42="XX","XX ", $M$65-0.00356*(E42-$E$65))</f>
        <v>73.07226</v>
      </c>
      <c r="N42" s="40">
        <f>IF(E42="XX","XX",100.45+33.193*AE42+2.319*AE42^2+0.17074*AE42^3+1.2063*(AD42*0.4897705)^3)</f>
        <v>63.808243961359075</v>
      </c>
      <c r="O42" s="41">
        <f>IF(E42="XX","XX ",((1093-0.556*M42)*AA42-0.24*(L42-M42))/(1093+0.444*L42-M42))</f>
        <v>1.3582189647458795E-2</v>
      </c>
      <c r="P42" s="42">
        <f xml:space="preserve"> IF(E42="XX", "XX", ((O42/AF42)/(1-(1-(O42/AF42))*(AB42/J42)))*100)</f>
        <v>39.283337796594381</v>
      </c>
      <c r="Q42" s="43">
        <f xml:space="preserve"> IF(E42="XX", "XX", 0.7543*(T42*(1+1.6078*O42))/H42)</f>
        <v>14.747313050200884</v>
      </c>
      <c r="R42" s="34">
        <f xml:space="preserve"> IF(E42="XX", "XX", 1/Q42)</f>
        <v>6.7808962662956301E-2</v>
      </c>
      <c r="S42" s="57">
        <f>IF(E42="XX", "XX", 0.24*L42+O42*(1061+0.444*L42))</f>
        <v>37.309317154243274</v>
      </c>
      <c r="T42" s="44">
        <f>IF(E42="XX", "XX", L42+459.7)</f>
        <v>552.77225999999996</v>
      </c>
      <c r="U42" s="133">
        <f>IF(E42="XX", "XX", M42+459.7)</f>
        <v>532.77225999999996</v>
      </c>
      <c r="X42" s="147">
        <f t="shared" si="17"/>
        <v>11</v>
      </c>
      <c r="Y42" s="34">
        <f t="shared" si="18"/>
        <v>31</v>
      </c>
      <c r="Z42" s="41">
        <f xml:space="preserve"> IF(E42="XX", "XX", EXP((-10440.397/U42)+(-11.29465) + (-0.027022355*U42) + (0.00001289036*U42*U42) + (-0.0000000024780681*U42^3)+(6.5459673*LN(U42))) )</f>
        <v>0.40355644649066202</v>
      </c>
      <c r="AA42" s="39">
        <f>IF(E42="XX", "XX", 0.62198*Z42/(J42-Z42))</f>
        <v>1.8257922819395034E-2</v>
      </c>
      <c r="AB42" s="41">
        <f xml:space="preserve"> IF(E42="XX", "XX", EXP((-10440.397/T42)+(-11.29465) + (-0.027022355*T42) + (0.00001289036*T42*T42) + (-0.0000000024780681*T42^3)+(6.5459673*LN(T42))) )</f>
        <v>0.76983503760338534</v>
      </c>
      <c r="AC42" s="39">
        <f>IF(E42="XX", "XX", AB42*2.041772658 )</f>
        <v>1.5718281309489941</v>
      </c>
      <c r="AD42" s="39">
        <f>IF(E42="XX", "XX", (H42*O42)/(0.62198+O42))</f>
        <v>0.6174062187123659</v>
      </c>
      <c r="AE42" s="39">
        <f>IF(E42="XX", "XX", LN(AD42*0.4897705))</f>
        <v>-1.1960464594870366</v>
      </c>
      <c r="AF42" s="140">
        <f>IF(E42="XX", "XX", 0.62198*(AB42/(J42-AB42)))</f>
        <v>3.5782655640763029E-2</v>
      </c>
      <c r="AH42" s="473">
        <f xml:space="preserve"> IF(D42="XX", "XX", E42- $D$4)</f>
        <v>541.5</v>
      </c>
      <c r="AI42" s="154">
        <f xml:space="preserve"> IF(D42="XX", "XX", $AN$3 * R42 * (T42-$T$7)/$T$7 * $AP$3 * ($H$4-AH42))</f>
        <v>4.9821875359370412E-3</v>
      </c>
      <c r="AJ42" s="154">
        <f xml:space="preserve"> IF(D42="XX", "XX", $AR$3 * $AN$4^2 * $AR$4 * R42 * K42^2/2)</f>
        <v>2.2901962066556819E-4</v>
      </c>
      <c r="AK42" s="154">
        <f xml:space="preserve"> IF(D42="XX", "XX", AI42 +AJ42)</f>
        <v>5.2112071566026092E-3</v>
      </c>
      <c r="AL42" s="154">
        <f xml:space="preserve"> IF(D42="XX", "XX", AK42 +$AK$38)</f>
        <v>1.0211207156602609E-2</v>
      </c>
      <c r="AM42" s="26">
        <f xml:space="preserve"> IF(D42="XX", "XX", 60 * ($AP$4 * $AN$38 * (2 * ABS(AL42)/R42)^0.5))</f>
        <v>520.09283594105182</v>
      </c>
      <c r="AN42" s="27" t="str">
        <f>IF(D42="XX", "XX", IF(AL42&lt;0, "Exfl", "Infl"))</f>
        <v>Infl</v>
      </c>
      <c r="AO42" s="26">
        <f t="shared" ref="AO42:AO45" si="22" xml:space="preserve"> IF(AN42="Infl", -AM42, AM42)</f>
        <v>-520.09283594105182</v>
      </c>
      <c r="AP42" s="474">
        <f>IF(D42="XX", "XX", AO42/$K$10)</f>
        <v>-6.1915813802506166E-2</v>
      </c>
      <c r="AQ42" s="26">
        <f t="shared" si="21"/>
        <v>-10151.193191685157</v>
      </c>
      <c r="AR42" s="392">
        <f xml:space="preserve"> IF(D42="XX", "XX", AO42 * 1.08 * 3000/1000)</f>
        <v>-1685.100788449008</v>
      </c>
    </row>
    <row r="43" spans="2:44" ht="19.05" customHeight="1">
      <c r="B43" s="134">
        <f>'Input-Output'!AI24</f>
        <v>10</v>
      </c>
      <c r="C43" s="36">
        <f>'Input-Output'!AJ24</f>
        <v>20</v>
      </c>
      <c r="D43" s="36">
        <f>'Input-Output'!AK24</f>
        <v>26</v>
      </c>
      <c r="E43" s="36">
        <f>'Input-Output'!AL24</f>
        <v>974</v>
      </c>
      <c r="F43" s="36">
        <f>'Input-Output'!AM24</f>
        <v>296.87520000000001</v>
      </c>
      <c r="G43" s="38">
        <f t="shared" si="19"/>
        <v>97.809298525673938</v>
      </c>
      <c r="H43" s="38">
        <f xml:space="preserve"> IF(E43="XX", "XX", G43*$AB$3)</f>
        <v>28.961825702412597</v>
      </c>
      <c r="I43" s="38">
        <f>IF(E43="XX", "XX", G43*$AD$3)</f>
        <v>393.05309942202507</v>
      </c>
      <c r="J43" s="38">
        <f xml:space="preserve"> IF(E43="XX", "XX",G43*$AF$3)</f>
        <v>14.186033817808577</v>
      </c>
      <c r="K43" s="38">
        <f xml:space="preserve"> IF(E43="XX", "XX", ( $K$65 + $U$4 * (E43-$D$4)/$F$4 ) )</f>
        <v>6.8105423987776934</v>
      </c>
      <c r="L43" s="33">
        <f xml:space="preserve"> IF(E43="XX", "XX", $L$65 - 0.00356*(E43-$E$65))</f>
        <v>93.312560000000005</v>
      </c>
      <c r="M43" s="33">
        <f>IF(E43="XX","XX ", $M$65-0.00356*(E43-$E$65))</f>
        <v>73.312560000000005</v>
      </c>
      <c r="N43" s="40">
        <f>IF(E43="XX","XX",100.45+33.193*AE43+2.319*AE43^2+0.17074*AE43^3+1.2063*(AD43*0.4897705)^3)</f>
        <v>64.092304388718858</v>
      </c>
      <c r="O43" s="41">
        <f>IF(E43="XX","XX ",((1093-0.556*M43)*AA43-0.24*(L43-M43))/(1093+0.444*L43-M43))</f>
        <v>1.3686856141284813E-2</v>
      </c>
      <c r="P43" s="42">
        <f xml:space="preserve"> IF(E43="XX", "XX", ((O43/AF43)/(1-(1-(O43/AF43))*(AB43/J43)))*100)</f>
        <v>39.382860996881533</v>
      </c>
      <c r="Q43" s="43">
        <f xml:space="preserve"> IF(E43="XX", "XX", 0.7543*(T43*(1+1.6078*O43))/H43)</f>
        <v>14.719955492073682</v>
      </c>
      <c r="R43" s="34">
        <f xml:space="preserve"> IF(E43="XX", "XX", 1/Q43)</f>
        <v>6.7934988019391379E-2</v>
      </c>
      <c r="S43" s="57">
        <f>IF(E43="XX", "XX", 0.24*L43+O43*(1061+0.444*L43))</f>
        <v>37.48382584559657</v>
      </c>
      <c r="T43" s="44">
        <f>IF(E43="XX", "XX", L43+459.7)</f>
        <v>553.01256000000001</v>
      </c>
      <c r="U43" s="133">
        <f>IF(E43="XX", "XX", M43+459.7)</f>
        <v>533.01256000000001</v>
      </c>
      <c r="X43" s="147">
        <f t="shared" si="17"/>
        <v>10</v>
      </c>
      <c r="Y43" s="34">
        <f t="shared" si="18"/>
        <v>26</v>
      </c>
      <c r="Z43" s="41">
        <f xml:space="preserve"> IF(E43="XX", "XX", EXP((-10440.397/U43)+(-11.29465) + (-0.027022355*U43) + (0.00001289036*U43*U43) + (-0.0000000024780681*U43^3)+(6.5459673*LN(U43))) )</f>
        <v>0.40683326254863039</v>
      </c>
      <c r="AA43" s="39">
        <f>IF(E43="XX", "XX", 0.62198*Z43/(J43-Z43))</f>
        <v>1.8364066305965997E-2</v>
      </c>
      <c r="AB43" s="41">
        <f xml:space="preserve"> IF(E43="XX", "XX", EXP((-10440.397/T43)+(-11.29465) + (-0.027022355*T43) + (0.00001289036*T43*T43) + (-0.0000000024780681*T43^3)+(6.5459673*LN(T43))) )</f>
        <v>0.77558225310981044</v>
      </c>
      <c r="AC43" s="39">
        <f>IF(E43="XX", "XX", AB43*2.041772658 )</f>
        <v>1.5835626384296466</v>
      </c>
      <c r="AD43" s="39">
        <f>IF(E43="XX", "XX", (H43*O43)/(0.62198+O43))</f>
        <v>0.62359133270554257</v>
      </c>
      <c r="AE43" s="39">
        <f>IF(E43="XX", "XX", LN(AD43*0.4897705))</f>
        <v>-1.1860784056422085</v>
      </c>
      <c r="AF43" s="140">
        <f>IF(E43="XX", "XX", 0.62198*(AB43/(J43-AB43)))</f>
        <v>3.5971693232097049E-2</v>
      </c>
      <c r="AH43" s="473">
        <f xml:space="preserve"> IF(D43="XX", "XX", E43- $D$4)</f>
        <v>474</v>
      </c>
      <c r="AI43" s="154">
        <f xml:space="preserve"> IF(D43="XX", "XX", $AN$3 * R43 * (T43-$T$7)/$T$7 * $AP$3 * ($H$4-AH43))</f>
        <v>8.0790785533284091E-3</v>
      </c>
      <c r="AJ43" s="154">
        <f xml:space="preserve"> IF(D43="XX", "XX", $AR$3 * $AN$4^2 * $AR$4 * R43 * K43^2/2)</f>
        <v>2.1301176994994897E-4</v>
      </c>
      <c r="AK43" s="154">
        <f xml:space="preserve"> IF(D43="XX", "XX", AI43 +AJ43)</f>
        <v>8.2920903232783574E-3</v>
      </c>
      <c r="AL43" s="154">
        <f xml:space="preserve"> IF(D43="XX", "XX", AK43 +$AK$38)</f>
        <v>1.3292090323278358E-2</v>
      </c>
      <c r="AM43" s="26">
        <f xml:space="preserve"> IF(D43="XX", "XX", 60 * ($AP$4 * $AN$38 * (2 * ABS(AL43)/R43)^0.5))</f>
        <v>592.83763866166555</v>
      </c>
      <c r="AN43" s="27" t="str">
        <f>IF(D43="XX", "XX", IF(AL43&lt;0, "Exfl", "Infl"))</f>
        <v>Infl</v>
      </c>
      <c r="AO43" s="26">
        <f t="shared" si="22"/>
        <v>-592.83763866166555</v>
      </c>
      <c r="AP43" s="474">
        <f>IF(D43="XX", "XX", AO43/$K$10)</f>
        <v>-7.0575909364483991E-2</v>
      </c>
      <c r="AQ43" s="26">
        <f t="shared" si="21"/>
        <v>-11724.88481451008</v>
      </c>
      <c r="AR43" s="392">
        <f xml:space="preserve"> IF(D43="XX", "XX", AO43 * 1.08 * 3000/1000)</f>
        <v>-1920.7939492637965</v>
      </c>
    </row>
    <row r="44" spans="2:44" ht="19.05" customHeight="1">
      <c r="B44" s="134">
        <f>'Input-Output'!AI25</f>
        <v>9</v>
      </c>
      <c r="C44" s="36">
        <f>'Input-Output'!AJ25</f>
        <v>15</v>
      </c>
      <c r="D44" s="36">
        <f>'Input-Output'!AK25</f>
        <v>21</v>
      </c>
      <c r="E44" s="36">
        <f>'Input-Output'!AL25</f>
        <v>906.5</v>
      </c>
      <c r="F44" s="36">
        <f>'Input-Output'!AM25</f>
        <v>276.30119999999999</v>
      </c>
      <c r="G44" s="38">
        <f t="shared" si="19"/>
        <v>98.049711371961493</v>
      </c>
      <c r="H44" s="38">
        <f xml:space="preserve"> IF(E44="XX", "XX", G44*$AB$3)</f>
        <v>29.033013156527439</v>
      </c>
      <c r="I44" s="38">
        <f>IF(E44="XX", "XX", G44*$AD$3)</f>
        <v>394.01921425771621</v>
      </c>
      <c r="J44" s="38">
        <f xml:space="preserve"> IF(E44="XX", "XX",G44*$AF$3)</f>
        <v>14.220902739466119</v>
      </c>
      <c r="K44" s="38">
        <f xml:space="preserve"> IF(E44="XX", "XX", ( $K$65 + $U$4 * (E44-$D$4)/$F$4 ) )</f>
        <v>6.5527119938884644</v>
      </c>
      <c r="L44" s="33">
        <f xml:space="preserve"> IF(E44="XX", "XX", $L$65 - 0.00356*(E44-$E$65))</f>
        <v>93.552859999999995</v>
      </c>
      <c r="M44" s="33">
        <f>IF(E44="XX","XX ", $M$65-0.00356*(E44-$E$65))</f>
        <v>73.552859999999995</v>
      </c>
      <c r="N44" s="40">
        <f>IF(E44="XX","XX",100.45+33.193*AE44+2.319*AE44^2+0.17074*AE44^3+1.2063*(AD44*0.4897705)^3)</f>
        <v>64.376036428330167</v>
      </c>
      <c r="O44" s="41">
        <f>IF(E44="XX","XX ",((1093-0.556*M44)*AA44-0.24*(L44-M44))/(1093+0.444*L44-M44))</f>
        <v>1.3792017643296012E-2</v>
      </c>
      <c r="P44" s="42">
        <f xml:space="preserve"> IF(E44="XX", "XX", ((O44/AF44)/(1-(1-(O44/AF44))*(AB44/J44)))*100)</f>
        <v>39.481959705567355</v>
      </c>
      <c r="Q44" s="43">
        <f xml:space="preserve"> IF(E44="XX", "XX", 0.7543*(T44*(1+1.6078*O44))/H44)</f>
        <v>14.692673808804136</v>
      </c>
      <c r="R44" s="34">
        <f xml:space="preserve"> IF(E44="XX", "XX", 1/Q44)</f>
        <v>6.8061131214985568E-2</v>
      </c>
      <c r="S44" s="57">
        <f>IF(E44="XX", "XX", 0.24*L44+O44*(1061+0.444*L44))</f>
        <v>37.658902636428223</v>
      </c>
      <c r="T44" s="44">
        <f>IF(E44="XX", "XX", L44+459.7)</f>
        <v>553.25285999999994</v>
      </c>
      <c r="U44" s="133">
        <f>IF(E44="XX", "XX", M44+459.7)</f>
        <v>533.25285999999994</v>
      </c>
      <c r="X44" s="147">
        <f t="shared" si="17"/>
        <v>9</v>
      </c>
      <c r="Y44" s="34">
        <f t="shared" si="18"/>
        <v>21</v>
      </c>
      <c r="Z44" s="41">
        <f xml:space="preserve"> IF(E44="XX", "XX", EXP((-10440.397/U44)+(-11.29465) + (-0.027022355*U44) + (0.00001289036*U44*U44) + (-0.0000000024780681*U44^3)+(6.5459673*LN(U44))) )</f>
        <v>0.41013329740047039</v>
      </c>
      <c r="AA44" s="39">
        <f>IF(E44="XX", "XX", 0.62198*Z44/(J44-Z44))</f>
        <v>1.8470709353829495E-2</v>
      </c>
      <c r="AB44" s="41">
        <f xml:space="preserve"> IF(E44="XX", "XX", EXP((-10440.397/T44)+(-11.29465) + (-0.027022355*T44) + (0.00001289036*T44*T44) + (-0.0000000024780681*T44^3)+(6.5459673*LN(T44))) )</f>
        <v>0.78136663035478493</v>
      </c>
      <c r="AC44" s="39">
        <f>IF(E44="XX", "XX", AB44*2.041772658 )</f>
        <v>1.5953730217319928</v>
      </c>
      <c r="AD44" s="39">
        <f>IF(E44="XX", "XX", (H44*O44)/(0.62198+O44))</f>
        <v>0.62982298462454833</v>
      </c>
      <c r="AE44" s="39">
        <f>IF(E44="XX", "XX", LN(AD44*0.4897705))</f>
        <v>-1.1761348408070125</v>
      </c>
      <c r="AF44" s="140">
        <f>IF(E44="XX", "XX", 0.62198*(AB44/(J44-AB44)))</f>
        <v>3.6161547005970629E-2</v>
      </c>
      <c r="AH44" s="473">
        <f xml:space="preserve"> IF(D44="XX", "XX", E44- $D$4)</f>
        <v>406.5</v>
      </c>
      <c r="AI44" s="154">
        <f xml:space="preserve"> IF(D44="XX", "XX", $AN$3 * R44 * (T44-$T$7)/$T$7 * $AP$3 * ($H$4-AH44))</f>
        <v>1.1266882678647425E-2</v>
      </c>
      <c r="AJ44" s="154">
        <f xml:space="preserve"> IF(D44="XX", "XX", $AR$3 * $AN$4^2 * $AR$4 * R44 * K44^2/2)</f>
        <v>1.9755499701902741E-4</v>
      </c>
      <c r="AK44" s="154">
        <f xml:space="preserve"> IF(D44="XX", "XX", AI44 +AJ44)</f>
        <v>1.1464437675666453E-2</v>
      </c>
      <c r="AL44" s="154">
        <f xml:space="preserve"> IF(D44="XX", "XX", AK44 +$AK$38)</f>
        <v>1.6464437675666452E-2</v>
      </c>
      <c r="AM44" s="26">
        <f xml:space="preserve"> IF(D44="XX", "XX", 60 * ($AP$4 * $AN$38 * (2 * ABS(AL44)/R44)^0.5))</f>
        <v>659.18869121624925</v>
      </c>
      <c r="AN44" s="27" t="str">
        <f>IF(D44="XX", "XX", IF(AL44&lt;0, "Exfl", "Infl"))</f>
        <v>Infl</v>
      </c>
      <c r="AO44" s="26">
        <f t="shared" si="22"/>
        <v>-659.18869121624925</v>
      </c>
      <c r="AP44" s="474">
        <f>IF(D44="XX", "XX", AO44/$K$10)</f>
        <v>-7.8474844192410631E-2</v>
      </c>
      <c r="AQ44" s="26">
        <f t="shared" si="21"/>
        <v>-13208.222341855762</v>
      </c>
      <c r="AR44" s="392">
        <f xml:space="preserve"> IF(D44="XX", "XX", AO44 * 1.08 * 3000/1000)</f>
        <v>-2135.7713595406476</v>
      </c>
    </row>
    <row r="45" spans="2:44" ht="19.05" customHeight="1" thickBot="1">
      <c r="B45" s="135">
        <f>'Input-Output'!AI26</f>
        <v>8</v>
      </c>
      <c r="C45" s="102">
        <f>'Input-Output'!AJ26</f>
        <v>5</v>
      </c>
      <c r="D45" s="102">
        <f>'Input-Output'!AK26</f>
        <v>17</v>
      </c>
      <c r="E45" s="102">
        <f>'Input-Output'!AL26</f>
        <v>771.5</v>
      </c>
      <c r="F45" s="102">
        <f>'Input-Output'!AM26</f>
        <v>235.1532</v>
      </c>
      <c r="G45" s="103">
        <f t="shared" si="19"/>
        <v>98.531972587484262</v>
      </c>
      <c r="H45" s="103">
        <f xml:space="preserve"> IF(E45="XX", "XX", G45*$AB$3)</f>
        <v>29.175813130328883</v>
      </c>
      <c r="I45" s="103">
        <f>IF(E45="XX", "XX", G45*$AD$3)</f>
        <v>395.95721267248348</v>
      </c>
      <c r="J45" s="103">
        <f xml:space="preserve"> IF(E45="XX", "XX",G45*$AF$3)</f>
        <v>14.290848787700252</v>
      </c>
      <c r="K45" s="103">
        <f xml:space="preserve"> IF(E45="XX", "XX", ( $K$65 + $U$4 * (E45-$D$4)/$F$4 ) )</f>
        <v>6.0370511841100072</v>
      </c>
      <c r="L45" s="123">
        <f xml:space="preserve"> IF(E45="XX", "XX", $L$65 - 0.00356*(E45-$E$65))</f>
        <v>94.033460000000005</v>
      </c>
      <c r="M45" s="123">
        <f>IF(E45="XX","XX ", $M$65-0.00356*(E45-$E$65))</f>
        <v>74.033460000000005</v>
      </c>
      <c r="N45" s="124">
        <f>IF(E45="XX","XX",100.45+33.193*AE45+2.319*AE45^2+0.17074*AE45^3+1.2063*(AD45*0.4897705)^3)</f>
        <v>64.942534435230598</v>
      </c>
      <c r="O45" s="125">
        <f>IF(E45="XX","XX ",((1093-0.556*M45)*AA45-0.24*(L45-M45))/(1093+0.444*L45-M45))</f>
        <v>1.4003832742946096E-2</v>
      </c>
      <c r="P45" s="126">
        <f xml:space="preserve"> IF(E45="XX", "XX", ((O45/AF45)/(1-(1-(O45/AF45))*(AB45/J45)))*100)</f>
        <v>39.678895062173467</v>
      </c>
      <c r="Q45" s="127">
        <f xml:space="preserve"> IF(E45="XX", "XX", 0.7543*(T45*(1+1.6078*O45))/H45)</f>
        <v>14.638337219820841</v>
      </c>
      <c r="R45" s="128">
        <f xml:space="preserve"> IF(E45="XX", "XX", 1/Q45)</f>
        <v>6.8313769862191981E-2</v>
      </c>
      <c r="S45" s="129">
        <f>IF(E45="XX", "XX", 0.24*L45+O45*(1061+0.444*L45))</f>
        <v>38.010768947925555</v>
      </c>
      <c r="T45" s="130">
        <f>IF(E45="XX", "XX", L45+459.7)</f>
        <v>553.73346000000004</v>
      </c>
      <c r="U45" s="131">
        <f>IF(E45="XX", "XX", M45+459.7)</f>
        <v>533.73346000000004</v>
      </c>
      <c r="X45" s="148">
        <f t="shared" si="17"/>
        <v>8</v>
      </c>
      <c r="Y45" s="128">
        <f t="shared" si="18"/>
        <v>17</v>
      </c>
      <c r="Z45" s="125">
        <f xml:space="preserve"> IF(E45="XX", "XX", EXP((-10440.397/U45)+(-11.29465) + (-0.027022355*U45) + (0.00001289036*U45*U45) + (-0.0000000024780681*U45^3)+(6.5459673*LN(U45))) )</f>
        <v>0.41680357793336492</v>
      </c>
      <c r="AA45" s="142">
        <f>IF(E45="XX", "XX", 0.62198*Z45/(J45-Z45))</f>
        <v>1.8685501271142976E-2</v>
      </c>
      <c r="AB45" s="125">
        <f xml:space="preserve"> IF(E45="XX", "XX", EXP((-10440.397/T45)+(-11.29465) + (-0.027022355*T45) + (0.00001289036*T45*T45) + (-0.0000000024780681*T45^3)+(6.5459673*LN(T45))) )</f>
        <v>0.79304767002594201</v>
      </c>
      <c r="AC45" s="142">
        <f>IF(E45="XX", "XX", AB45*2.041772658 )</f>
        <v>1.6192230491495747</v>
      </c>
      <c r="AD45" s="142">
        <f>IF(E45="XX", "XX", (H45*O45)/(0.62198+O45))</f>
        <v>0.64242703380435551</v>
      </c>
      <c r="AE45" s="142">
        <f>IF(E45="XX", "XX", LN(AD45*0.4897705))</f>
        <v>-1.1563203996677855</v>
      </c>
      <c r="AF45" s="149">
        <f>IF(E45="XX", "XX", 0.62198*(AB45/(J45-AB45)))</f>
        <v>3.6543714454115826E-2</v>
      </c>
      <c r="AH45" s="475">
        <f xml:space="preserve"> IF(D45="XX", "XX", E45- $D$4)</f>
        <v>271.5</v>
      </c>
      <c r="AI45" s="1">
        <f xml:space="preserve"> IF(D45="XX", "XX", $AN$3 * R45 * (T45-$T$7)/$T$7 * $AP$3 * ($H$4-AH45))</f>
        <v>1.7917063415344277E-2</v>
      </c>
      <c r="AJ45" s="1">
        <f xml:space="preserve"> IF(D45="XX", "XX", $AR$3 * $AN$4^2 * $AR$4 * R45 * K45^2/2)</f>
        <v>1.6830796313631338E-4</v>
      </c>
      <c r="AK45" s="1">
        <f xml:space="preserve"> IF(D45="XX", "XX", AI45 +AJ45)</f>
        <v>1.808537137848059E-2</v>
      </c>
      <c r="AL45" s="1">
        <f xml:space="preserve"> IF(D45="XX", "XX", AK45 +$AK$38)</f>
        <v>2.3085371378480591E-2</v>
      </c>
      <c r="AM45" s="28">
        <f xml:space="preserve"> IF(D45="XX", "XX", 60 * ($AP$4 * $AN$38 * (2 * ABS(AL45)/R45)^0.5))</f>
        <v>779.11252309092094</v>
      </c>
      <c r="AN45" s="29" t="str">
        <f>IF(D45="XX", "XX", IF(AL45&lt;0, "Exfl", "Infl"))</f>
        <v>Infl</v>
      </c>
      <c r="AO45" s="28">
        <f t="shared" si="22"/>
        <v>-779.11252309092094</v>
      </c>
      <c r="AP45" s="476">
        <f>IF(D45="XX", "XX", AO45/$K$10)</f>
        <v>-9.275149084415725E-2</v>
      </c>
      <c r="AQ45" s="28">
        <f t="shared" si="21"/>
        <v>-16015.543607250134</v>
      </c>
      <c r="AR45" s="397">
        <f xml:space="preserve"> IF(D45="XX", "XX", AO45 * 1.08 * 3000/1000)</f>
        <v>-2524.3245748145841</v>
      </c>
    </row>
    <row r="46" spans="2:44" ht="19.05" customHeight="1">
      <c r="B46" s="12"/>
      <c r="C46" s="12"/>
      <c r="D46" s="12"/>
      <c r="E46" s="12"/>
      <c r="F46" s="12"/>
      <c r="G46" s="14"/>
      <c r="H46" s="14"/>
      <c r="I46" s="14"/>
      <c r="J46" s="14"/>
      <c r="K46" s="14"/>
      <c r="L46" s="9"/>
      <c r="M46" s="9"/>
      <c r="N46" s="18"/>
      <c r="O46" s="19"/>
      <c r="P46" s="20"/>
      <c r="Q46" s="21"/>
      <c r="R46" s="10"/>
      <c r="S46" s="56"/>
      <c r="T46" s="22"/>
      <c r="U46" s="22"/>
      <c r="Z46" s="19"/>
      <c r="AA46" s="15"/>
      <c r="AB46" s="19"/>
      <c r="AC46" s="15"/>
      <c r="AD46" s="15"/>
      <c r="AE46" s="15"/>
      <c r="AF46" s="19"/>
      <c r="AH46" s="58"/>
      <c r="AI46" s="151"/>
      <c r="AJ46" s="151"/>
      <c r="AK46" s="151"/>
      <c r="AL46" s="151"/>
      <c r="AM46" s="153"/>
      <c r="AN46" s="16"/>
      <c r="AO46" s="153"/>
      <c r="AP46" s="152"/>
      <c r="AQ46" s="153"/>
      <c r="AR46" s="153"/>
    </row>
    <row r="47" spans="2:44" ht="19.05" customHeight="1" thickBot="1">
      <c r="B47" s="66">
        <f>'Input-Output'!AK27</f>
        <v>3</v>
      </c>
      <c r="E47" s="13" t="s">
        <v>121</v>
      </c>
      <c r="F47" s="23"/>
      <c r="G47" s="115">
        <f>'Input-Output'!AB22</f>
        <v>6</v>
      </c>
      <c r="H47" s="435" t="s">
        <v>122</v>
      </c>
      <c r="I47" s="436"/>
      <c r="J47" s="436"/>
      <c r="K47" s="116">
        <f>'Input-Output'!AB32</f>
        <v>12000</v>
      </c>
      <c r="X47" s="75">
        <f t="shared" ref="X47:X52" si="23">B47</f>
        <v>3</v>
      </c>
      <c r="Z47" s="61" t="s">
        <v>125</v>
      </c>
      <c r="AA47" s="56"/>
      <c r="AB47" s="117">
        <f>'Input-Output'!AB24</f>
        <v>0.3</v>
      </c>
      <c r="AC47" s="62" t="s">
        <v>123</v>
      </c>
      <c r="AD47" s="19"/>
      <c r="AE47" s="117">
        <f>'Input-Output'!AB25</f>
        <v>0.6</v>
      </c>
      <c r="AH47" s="68" t="s">
        <v>124</v>
      </c>
      <c r="AK47" s="118">
        <f>'Input-Output'!AB26</f>
        <v>5.0000000000000001E-3</v>
      </c>
      <c r="AL47" s="150" t="s">
        <v>141</v>
      </c>
      <c r="AM47" s="151"/>
      <c r="AN47" s="155">
        <f>'Input-Output'!AB33</f>
        <v>36</v>
      </c>
      <c r="AO47" s="180" t="s">
        <v>222</v>
      </c>
      <c r="AP47" s="152"/>
      <c r="AR47" s="155">
        <f>SUM(AR50:AR52)/12</f>
        <v>-710.12597920439123</v>
      </c>
    </row>
    <row r="48" spans="2:44" ht="19.05" customHeight="1">
      <c r="B48" s="162" t="s">
        <v>58</v>
      </c>
      <c r="C48" s="168" t="s">
        <v>118</v>
      </c>
      <c r="D48" s="163" t="s">
        <v>117</v>
      </c>
      <c r="E48" s="169" t="s">
        <v>66</v>
      </c>
      <c r="F48" s="163"/>
      <c r="G48" s="170" t="s">
        <v>57</v>
      </c>
      <c r="H48" s="171"/>
      <c r="I48" s="171"/>
      <c r="J48" s="171"/>
      <c r="K48" s="171" t="s">
        <v>60</v>
      </c>
      <c r="L48" s="172" t="s">
        <v>20</v>
      </c>
      <c r="M48" s="172" t="s">
        <v>21</v>
      </c>
      <c r="N48" s="172" t="s">
        <v>36</v>
      </c>
      <c r="O48" s="145" t="s">
        <v>40</v>
      </c>
      <c r="P48" s="145" t="s">
        <v>37</v>
      </c>
      <c r="Q48" s="145" t="s">
        <v>38</v>
      </c>
      <c r="R48" s="145" t="s">
        <v>39</v>
      </c>
      <c r="S48" s="145" t="s">
        <v>41</v>
      </c>
      <c r="T48" s="145" t="s">
        <v>42</v>
      </c>
      <c r="U48" s="146" t="s">
        <v>43</v>
      </c>
      <c r="X48" s="166" t="str">
        <f t="shared" si="23"/>
        <v>Level</v>
      </c>
      <c r="Y48" s="163" t="str">
        <f>D48</f>
        <v>Bldg</v>
      </c>
      <c r="Z48" s="164" t="s">
        <v>142</v>
      </c>
      <c r="AA48" s="145"/>
      <c r="AB48" s="145"/>
      <c r="AC48" s="145"/>
      <c r="AD48" s="145"/>
      <c r="AE48" s="145"/>
      <c r="AF48" s="146"/>
      <c r="AH48" s="465" t="s">
        <v>76</v>
      </c>
      <c r="AI48" s="466" t="s">
        <v>68</v>
      </c>
      <c r="AJ48" s="466" t="s">
        <v>71</v>
      </c>
      <c r="AK48" s="466" t="s">
        <v>72</v>
      </c>
      <c r="AL48" s="466" t="s">
        <v>73</v>
      </c>
      <c r="AM48" s="467" t="s">
        <v>74</v>
      </c>
      <c r="AN48" s="468" t="s">
        <v>77</v>
      </c>
      <c r="AO48" s="467" t="s">
        <v>79</v>
      </c>
      <c r="AP48" s="469" t="s">
        <v>80</v>
      </c>
      <c r="AQ48" s="467" t="s">
        <v>197</v>
      </c>
      <c r="AR48" s="470" t="s">
        <v>199</v>
      </c>
    </row>
    <row r="49" spans="2:44" ht="19.05" customHeight="1">
      <c r="B49" s="173" t="s">
        <v>31</v>
      </c>
      <c r="C49" s="174" t="s">
        <v>59</v>
      </c>
      <c r="D49" s="174" t="s">
        <v>59</v>
      </c>
      <c r="E49" s="175" t="s">
        <v>14</v>
      </c>
      <c r="F49" s="175" t="s">
        <v>15</v>
      </c>
      <c r="G49" s="176" t="s">
        <v>18</v>
      </c>
      <c r="H49" s="176" t="s">
        <v>17</v>
      </c>
      <c r="I49" s="176" t="s">
        <v>19</v>
      </c>
      <c r="J49" s="176" t="s">
        <v>16</v>
      </c>
      <c r="K49" s="176" t="s">
        <v>61</v>
      </c>
      <c r="L49" s="177" t="s">
        <v>44</v>
      </c>
      <c r="M49" s="177" t="s">
        <v>44</v>
      </c>
      <c r="N49" s="177" t="s">
        <v>44</v>
      </c>
      <c r="O49" s="174" t="s">
        <v>47</v>
      </c>
      <c r="P49" s="174" t="s">
        <v>45</v>
      </c>
      <c r="Q49" s="174" t="s">
        <v>46</v>
      </c>
      <c r="R49" s="174" t="s">
        <v>22</v>
      </c>
      <c r="S49" s="174" t="s">
        <v>48</v>
      </c>
      <c r="T49" s="174" t="s">
        <v>49</v>
      </c>
      <c r="U49" s="178" t="s">
        <v>49</v>
      </c>
      <c r="X49" s="167" t="str">
        <f t="shared" si="23"/>
        <v>ID No.</v>
      </c>
      <c r="Y49" s="72" t="str">
        <f>D49</f>
        <v>Flr No.</v>
      </c>
      <c r="Z49" s="73" t="s">
        <v>50</v>
      </c>
      <c r="AA49" s="73" t="s">
        <v>51</v>
      </c>
      <c r="AB49" s="73" t="s">
        <v>52</v>
      </c>
      <c r="AC49" s="73" t="s">
        <v>53</v>
      </c>
      <c r="AD49" s="73" t="s">
        <v>54</v>
      </c>
      <c r="AE49" s="73" t="s">
        <v>55</v>
      </c>
      <c r="AF49" s="74" t="s">
        <v>56</v>
      </c>
      <c r="AH49" s="471" t="s">
        <v>140</v>
      </c>
      <c r="AI49" s="159" t="s">
        <v>19</v>
      </c>
      <c r="AJ49" s="159" t="s">
        <v>19</v>
      </c>
      <c r="AK49" s="160" t="s">
        <v>86</v>
      </c>
      <c r="AL49" s="161" t="s">
        <v>87</v>
      </c>
      <c r="AM49" s="158" t="s">
        <v>75</v>
      </c>
      <c r="AN49" s="157" t="s">
        <v>78</v>
      </c>
      <c r="AO49" s="158" t="s">
        <v>75</v>
      </c>
      <c r="AP49" s="160" t="s">
        <v>81</v>
      </c>
      <c r="AQ49" s="158" t="s">
        <v>204</v>
      </c>
      <c r="AR49" s="472" t="s">
        <v>200</v>
      </c>
    </row>
    <row r="50" spans="2:44" ht="19.05" customHeight="1">
      <c r="B50" s="134">
        <f>'Input-Output'!AI28</f>
        <v>7</v>
      </c>
      <c r="C50" s="36">
        <f>'Input-Output'!AJ28</f>
        <v>0</v>
      </c>
      <c r="D50" s="36" t="str">
        <f>'Input-Output'!AK28</f>
        <v>XX</v>
      </c>
      <c r="E50" s="36" t="str">
        <f>'Input-Output'!AL28</f>
        <v>XX</v>
      </c>
      <c r="F50" s="36" t="str">
        <f>'Input-Output'!AM28</f>
        <v>XX</v>
      </c>
      <c r="G50" s="38" t="str">
        <f t="shared" ref="G50:G52" si="24">IF(E50="XX","XX",((101325*(1-2.25577*(10^(-5))*F50)^5.2555)/1000))</f>
        <v>XX</v>
      </c>
      <c r="H50" s="38" t="str">
        <f xml:space="preserve"> IF(E50="XX", "XX", G50*$AB$3)</f>
        <v>XX</v>
      </c>
      <c r="I50" s="38" t="str">
        <f>IF(E50="XX", "XX", G50*$AD$3)</f>
        <v>XX</v>
      </c>
      <c r="J50" s="38" t="str">
        <f xml:space="preserve"> IF(E50="XX", "XX",G50*$AF$3)</f>
        <v>XX</v>
      </c>
      <c r="K50" s="38" t="str">
        <f xml:space="preserve"> IF(E50="XX", "XX", ( $K$65 + $U$4 * (E50-$D$4)/$F$4 ) )</f>
        <v>XX</v>
      </c>
      <c r="L50" s="33" t="str">
        <f xml:space="preserve"> IF(E50="XX", "XX", $L$65 - 0.00356*(E50-$E$65))</f>
        <v>XX</v>
      </c>
      <c r="M50" s="33" t="str">
        <f>IF(E50="XX","XX ", $M$65-0.00356*(E50-$E$65))</f>
        <v xml:space="preserve">XX </v>
      </c>
      <c r="N50" s="40" t="str">
        <f>IF(E50="XX","XX",100.45+33.193*AE50+2.319*AE50^2+0.17074*AE50^3+1.2063*(AD50*0.4897705)^3)</f>
        <v>XX</v>
      </c>
      <c r="O50" s="41" t="str">
        <f>IF(E50="XX","XX ",((1093-0.556*M50)*AA50-0.24*(L50-M50))/(1093+0.444*L50-M50))</f>
        <v xml:space="preserve">XX </v>
      </c>
      <c r="P50" s="42" t="str">
        <f xml:space="preserve"> IF(E50="XX", "XX", ((O50/AF50)/(1-(1-(O50/AF50))*(AB50/J50)))*100)</f>
        <v>XX</v>
      </c>
      <c r="Q50" s="43" t="str">
        <f xml:space="preserve"> IF(E50="XX", "XX", 0.7543*(T50*(1+1.6078*O50))/H50)</f>
        <v>XX</v>
      </c>
      <c r="R50" s="34" t="str">
        <f xml:space="preserve"> IF(E50="XX", "XX", 1/Q50)</f>
        <v>XX</v>
      </c>
      <c r="S50" s="57" t="str">
        <f>IF(E50="XX", "XX", 0.24*L50+O50*(1061+0.444*L50))</f>
        <v>XX</v>
      </c>
      <c r="T50" s="44" t="str">
        <f>IF(E50="XX", "XX", L50+459.7)</f>
        <v>XX</v>
      </c>
      <c r="U50" s="133" t="str">
        <f>IF(E50="XX", "XX", M50+459.7)</f>
        <v>XX</v>
      </c>
      <c r="X50" s="147">
        <f t="shared" si="23"/>
        <v>7</v>
      </c>
      <c r="Y50" s="34" t="str">
        <f>D50</f>
        <v>XX</v>
      </c>
      <c r="Z50" s="41" t="str">
        <f xml:space="preserve"> IF(E50="XX", "XX", EXP((-10440.397/U50)+(-11.29465) + (-0.027022355*U50) + (0.00001289036*U50*U50) + (-0.0000000024780681*U50^3)+(6.5459673*LN(U50))) )</f>
        <v>XX</v>
      </c>
      <c r="AA50" s="39" t="str">
        <f>IF(E50="XX", "XX", 0.62198*Z50/(J50-Z50))</f>
        <v>XX</v>
      </c>
      <c r="AB50" s="41" t="str">
        <f xml:space="preserve"> IF(E50="XX", "XX", EXP((-10440.397/T50)+(-11.29465) + (-0.027022355*T50) + (0.00001289036*T50*T50) + (-0.0000000024780681*T50^3)+(6.5459673*LN(T50))) )</f>
        <v>XX</v>
      </c>
      <c r="AC50" s="39" t="str">
        <f>IF(E50="XX", "XX", AB50*2.041772658 )</f>
        <v>XX</v>
      </c>
      <c r="AD50" s="39" t="str">
        <f>IF(E50="XX", "XX", (H50*O50)/(0.62198+O50))</f>
        <v>XX</v>
      </c>
      <c r="AE50" s="39" t="str">
        <f>IF(E50="XX", "XX", LN(AD50*0.4897705))</f>
        <v>XX</v>
      </c>
      <c r="AF50" s="140" t="str">
        <f>IF(E50="XX", "XX", 0.62198*(AB50/(J50-AB50)))</f>
        <v>XX</v>
      </c>
      <c r="AH50" s="473" t="str">
        <f xml:space="preserve"> IF(D50="XX", "XX", E50- $D$4)</f>
        <v>XX</v>
      </c>
      <c r="AI50" s="154" t="str">
        <f xml:space="preserve"> IF(D50="XX", "XX", $AN$3 * R50 * (T50-$T$7)/$T$7 * $AP$3 * ($H$4-AH50))</f>
        <v>XX</v>
      </c>
      <c r="AJ50" s="154" t="str">
        <f xml:space="preserve"> IF(D50="XX", "XX", $AR$3 * $AN$4^2 * $AR$4 * R50 * K50^2/2)</f>
        <v>XX</v>
      </c>
      <c r="AK50" s="154" t="str">
        <f xml:space="preserve"> IF(D50="XX", "XX", AI50 +AJ50)</f>
        <v>XX</v>
      </c>
      <c r="AL50" s="154" t="str">
        <f xml:space="preserve"> IF(D50="XX", "XX", AK50 +$AK$47)</f>
        <v>XX</v>
      </c>
      <c r="AM50" s="26" t="str">
        <f xml:space="preserve"> IF(D50="XX", "XX", 60 * ($AP$4 * $AN$47 * (2 * ABS(AL50)/R50)^0.5))</f>
        <v>XX</v>
      </c>
      <c r="AN50" s="27" t="str">
        <f>IF(D50="XX", "XX", IF(AL50&lt;0, "Exfl", "Infl"))</f>
        <v>XX</v>
      </c>
      <c r="AO50" s="26" t="str">
        <f t="shared" ref="AO50" si="25" xml:space="preserve"> IF(AN50="Infl", -AM50, AM50)</f>
        <v>XX</v>
      </c>
      <c r="AP50" s="474" t="str">
        <f>IF(D50="XX", "XX", AO50/$K$10)</f>
        <v>XX</v>
      </c>
      <c r="AQ50" s="26" t="str">
        <f t="shared" ref="AQ50:AQ52" si="26">IF(D50="XX", "XX", AO50*1.08*(L50-$L$8))</f>
        <v>XX</v>
      </c>
      <c r="AR50" s="392" t="str">
        <f xml:space="preserve"> IF(D50="XX", "XX", AO50 * 1.08 * 3000/1000)</f>
        <v>XX</v>
      </c>
    </row>
    <row r="51" spans="2:44" ht="19.05" customHeight="1">
      <c r="B51" s="134">
        <f>'Input-Output'!AI29</f>
        <v>6</v>
      </c>
      <c r="C51" s="36">
        <f>'Input-Output'!AJ29</f>
        <v>2</v>
      </c>
      <c r="D51" s="36">
        <f>'Input-Output'!AK29</f>
        <v>8</v>
      </c>
      <c r="E51" s="36">
        <f>'Input-Output'!AL29</f>
        <v>644</v>
      </c>
      <c r="F51" s="36">
        <f>'Input-Output'!AM29</f>
        <v>196.2912</v>
      </c>
      <c r="G51" s="38">
        <f t="shared" si="24"/>
        <v>98.989203352832334</v>
      </c>
      <c r="H51" s="38">
        <f xml:space="preserve"> IF(E51="XX", "XX", G51*$AB$3)</f>
        <v>29.311201461820861</v>
      </c>
      <c r="I51" s="38">
        <f>IF(E51="XX", "XX", G51*$AD$3)</f>
        <v>397.79462457687407</v>
      </c>
      <c r="J51" s="38">
        <f xml:space="preserve"> IF(E51="XX", "XX",G51*$AF$3)</f>
        <v>14.35716447749193</v>
      </c>
      <c r="K51" s="38">
        <f xml:space="preserve"> IF(E51="XX", "XX", ( $K$65 + $U$4 * (E51-$D$4)/$F$4 ) )</f>
        <v>5.5500381970970203</v>
      </c>
      <c r="L51" s="33">
        <f xml:space="preserve"> IF(E51="XX", "XX", $L$65 - 0.00356*(E51-$E$65))</f>
        <v>94.487359999999995</v>
      </c>
      <c r="M51" s="33">
        <f>IF(E51="XX","XX ", $M$65-0.00356*(E51-$E$65))</f>
        <v>74.487359999999995</v>
      </c>
      <c r="N51" s="40">
        <f>IF(E51="XX","XX",100.45+33.193*AE51+2.319*AE51^2+0.17074*AE51^3+1.2063*(AD51*0.4897705)^3)</f>
        <v>65.476405788913482</v>
      </c>
      <c r="O51" s="41">
        <f>IF(E51="XX","XX ",((1093-0.556*M51)*AA51-0.24*(L51-M51))/(1093+0.444*L51-M51))</f>
        <v>1.4205717701371823E-2</v>
      </c>
      <c r="P51" s="42">
        <f xml:space="preserve"> IF(E51="XX", "XX", ((O51/AF51)/(1-(1-(O51/AF51))*(AB51/J51)))*100)</f>
        <v>39.863361327194866</v>
      </c>
      <c r="Q51" s="43">
        <f xml:space="preserve"> IF(E51="XX", "XX", 0.7543*(T51*(1+1.6078*O51))/H51)</f>
        <v>14.587295708444232</v>
      </c>
      <c r="R51" s="34">
        <f xml:space="preserve"> IF(E51="XX", "XX", 1/Q51)</f>
        <v>6.8552802382769562E-2</v>
      </c>
      <c r="S51" s="57">
        <f>IF(E51="XX", "XX", 0.24*L51+O51*(1061+0.444*L51))</f>
        <v>38.345196659709003</v>
      </c>
      <c r="T51" s="44">
        <f>IF(E51="XX", "XX", L51+459.7)</f>
        <v>554.18736000000001</v>
      </c>
      <c r="U51" s="133">
        <f>IF(E51="XX", "XX", M51+459.7)</f>
        <v>534.18736000000001</v>
      </c>
      <c r="X51" s="147">
        <f t="shared" si="23"/>
        <v>6</v>
      </c>
      <c r="Y51" s="34">
        <f>D51</f>
        <v>8</v>
      </c>
      <c r="Z51" s="41">
        <f xml:space="preserve"> IF(E51="XX", "XX", EXP((-10440.397/U51)+(-11.29465) + (-0.027022355*U51) + (0.00001289036*U51*U51) + (-0.0000000024780681*U51^3)+(6.5459673*LN(U51))) )</f>
        <v>0.42319008041378864</v>
      </c>
      <c r="AA51" s="39">
        <f>IF(E51="XX", "XX", 0.62198*Z51/(J51-Z51))</f>
        <v>1.8890214573019655E-2</v>
      </c>
      <c r="AB51" s="41">
        <f xml:space="preserve"> IF(E51="XX", "XX", EXP((-10440.397/T51)+(-11.29465) + (-0.027022355*T51) + (0.00001289036*T51*T51) + (-0.0000000024780681*T51^3)+(6.5459673*LN(T51))) )</f>
        <v>0.80421843585122821</v>
      </c>
      <c r="AC51" s="39">
        <f>IF(E51="XX", "XX", AB51*2.041772658 )</f>
        <v>1.6420312133805648</v>
      </c>
      <c r="AD51" s="39">
        <f>IF(E51="XX", "XX", (H51*O51)/(0.62198+O51))</f>
        <v>0.65450487470722796</v>
      </c>
      <c r="AE51" s="39">
        <f>IF(E51="XX", "XX", LN(AD51*0.4897705))</f>
        <v>-1.1376946106159709</v>
      </c>
      <c r="AF51" s="140">
        <f>IF(E51="XX", "XX", 0.62198*(AB51/(J51-AB51)))</f>
        <v>3.6907679053239439E-2</v>
      </c>
      <c r="AH51" s="473">
        <f xml:space="preserve"> IF(D51="XX", "XX", E51- $D$4)</f>
        <v>144</v>
      </c>
      <c r="AI51" s="154">
        <f xml:space="preserve"> IF(D51="XX", "XX", $AN$3 * R51 * (T51-$T$7)/$T$7 * $AP$3 * ($H$4-AH51))</f>
        <v>2.453669296460385E-2</v>
      </c>
      <c r="AJ51" s="154">
        <f xml:space="preserve"> IF(D51="XX", "XX", $AR$3 * $AN$4^2 * $AR$4 * R51 * K51^2/2)</f>
        <v>1.4274596904668011E-4</v>
      </c>
      <c r="AK51" s="154">
        <f xml:space="preserve"> IF(D51="XX", "XX", AI51 +AJ51)</f>
        <v>2.467943893365053E-2</v>
      </c>
      <c r="AL51" s="154">
        <f xml:space="preserve"> IF(D51="XX", "XX", AK51 +$AK$47)</f>
        <v>2.9679438933650531E-2</v>
      </c>
      <c r="AM51" s="26">
        <f xml:space="preserve"> IF(D51="XX", "XX", 60 * ($AP$4 * $AN$47 * (2 * ABS(AL51)/R51)^0.5))</f>
        <v>1306.4636850619522</v>
      </c>
      <c r="AN51" s="27" t="str">
        <f>IF(D51="XX", "XX", IF(AL51&lt;0, "Exfl", "Infl"))</f>
        <v>Infl</v>
      </c>
      <c r="AO51" s="26">
        <f t="shared" ref="AO51:AO52" si="27" xml:space="preserve"> IF(AN51="Infl", -AM51, AM51)</f>
        <v>-1306.4636850619522</v>
      </c>
      <c r="AP51" s="474">
        <f>IF(D51="XX", "XX", AO51/$K$10)</f>
        <v>-0.15553139107880384</v>
      </c>
      <c r="AQ51" s="26">
        <f t="shared" si="26"/>
        <v>-27496.290410347192</v>
      </c>
      <c r="AR51" s="392">
        <f xml:space="preserve"> IF(D51="XX", "XX", AO51 * 1.08 * 3000/1000)</f>
        <v>-4232.9423396007251</v>
      </c>
    </row>
    <row r="52" spans="2:44" ht="19.05" customHeight="1" thickBot="1">
      <c r="B52" s="135">
        <f>'Input-Output'!AI30</f>
        <v>5</v>
      </c>
      <c r="C52" s="102">
        <f>'Input-Output'!AJ30</f>
        <v>1</v>
      </c>
      <c r="D52" s="102">
        <f>'Input-Output'!AK30</f>
        <v>7</v>
      </c>
      <c r="E52" s="102">
        <f>'Input-Output'!AL30</f>
        <v>629</v>
      </c>
      <c r="F52" s="102">
        <f>'Input-Output'!AM30</f>
        <v>191.7192</v>
      </c>
      <c r="G52" s="103">
        <f t="shared" si="24"/>
        <v>99.043107962775991</v>
      </c>
      <c r="H52" s="103">
        <f xml:space="preserve"> IF(E52="XX", "XX", G52*$AB$3)</f>
        <v>29.327162888201347</v>
      </c>
      <c r="I52" s="103">
        <f>IF(E52="XX", "XX", G52*$AD$3)</f>
        <v>398.01124379744772</v>
      </c>
      <c r="J52" s="103">
        <f xml:space="preserve"> IF(E52="XX", "XX",G52*$AF$3)</f>
        <v>14.364982677102018</v>
      </c>
      <c r="K52" s="103">
        <f xml:space="preserve"> IF(E52="XX", "XX", ( $K$65 + $U$4 * (E52-$D$4)/$F$4 ) )</f>
        <v>5.4927425515660806</v>
      </c>
      <c r="L52" s="123">
        <f xml:space="preserve"> IF(E52="XX", "XX", $L$65 - 0.00356*(E52-$E$65))</f>
        <v>94.540760000000006</v>
      </c>
      <c r="M52" s="123">
        <f>IF(E52="XX","XX ", $M$65-0.00356*(E52-$E$65))</f>
        <v>74.540760000000006</v>
      </c>
      <c r="N52" s="124">
        <f>IF(E52="XX","XX",100.45+33.193*AE52+2.319*AE52^2+0.17074*AE52^3+1.2063*(AD52*0.4897705)^3)</f>
        <v>65.539141946262532</v>
      </c>
      <c r="O52" s="125">
        <f>IF(E52="XX","XX ",((1093-0.556*M52)*AA52-0.24*(L52-M52))/(1093+0.444*L52-M52))</f>
        <v>1.4229586789585516E-2</v>
      </c>
      <c r="P52" s="126">
        <f xml:space="preserve"> IF(E52="XX", "XX", ((O52/AF52)/(1-(1-(O52/AF52))*(AB52/J52)))*100)</f>
        <v>39.884966536009422</v>
      </c>
      <c r="Q52" s="127">
        <f xml:space="preserve"> IF(E52="XX", "XX", 0.7543*(T52*(1+1.6078*O52))/H52)</f>
        <v>14.58130840837787</v>
      </c>
      <c r="R52" s="128">
        <f xml:space="preserve"> IF(E52="XX", "XX", 1/Q52)</f>
        <v>6.8580951173451463E-2</v>
      </c>
      <c r="S52" s="129">
        <f>IF(E52="XX", "XX", 0.24*L52+O52*(1061+0.444*L52))</f>
        <v>38.384676505360815</v>
      </c>
      <c r="T52" s="130">
        <f>IF(E52="XX", "XX", L52+459.7)</f>
        <v>554.24076000000002</v>
      </c>
      <c r="U52" s="131">
        <f>IF(E52="XX", "XX", M52+459.7)</f>
        <v>534.24076000000002</v>
      </c>
      <c r="X52" s="148">
        <f t="shared" si="23"/>
        <v>5</v>
      </c>
      <c r="Y52" s="128">
        <f>D52</f>
        <v>7</v>
      </c>
      <c r="Z52" s="125">
        <f xml:space="preserve"> IF(E52="XX", "XX", EXP((-10440.397/U52)+(-11.29465) + (-0.027022355*U52) + (0.00001289036*U52*U52) + (-0.0000000024780681*U52^3)+(6.5459673*LN(U52))) )</f>
        <v>0.42394702186797356</v>
      </c>
      <c r="AA52" s="142">
        <f>IF(E52="XX", "XX", 0.62198*Z52/(J52-Z52))</f>
        <v>1.8914417492537097E-2</v>
      </c>
      <c r="AB52" s="125">
        <f xml:space="preserve"> IF(E52="XX", "XX", EXP((-10440.397/T52)+(-11.29465) + (-0.027022355*T52) + (0.00001289036*T52*T52) + (-0.0000000024780681*T52^3)+(6.5459673*LN(T52))) )</f>
        <v>0.80554156502901098</v>
      </c>
      <c r="AC52" s="142">
        <f>IF(E52="XX", "XX", AB52*2.041772658 )</f>
        <v>1.6447327423587637</v>
      </c>
      <c r="AD52" s="142">
        <f>IF(E52="XX", "XX", (H52*O52)/(0.62198+O52))</f>
        <v>0.65593700295495727</v>
      </c>
      <c r="AE52" s="142">
        <f>IF(E52="XX", "XX", LN(AD52*0.4897705))</f>
        <v>-1.135508891672931</v>
      </c>
      <c r="AF52" s="149">
        <f>IF(E52="XX", "XX", 0.62198*(AB52/(J52-AB52)))</f>
        <v>3.6950692766432557E-2</v>
      </c>
      <c r="AH52" s="475">
        <f xml:space="preserve"> IF(D52="XX", "XX", E52- $D$4)</f>
        <v>129</v>
      </c>
      <c r="AI52" s="1">
        <f xml:space="preserve"> IF(D52="XX", "XX", $AN$3 * R52 * (T52-$T$7)/$T$7 * $AP$3 * ($H$4-AH52))</f>
        <v>2.5337265141197676E-2</v>
      </c>
      <c r="AJ52" s="1">
        <f xml:space="preserve"> IF(D52="XX", "XX", $AR$3 * $AN$4^2 * $AR$4 * R52 * K52^2/2)</f>
        <v>1.3987132462697376E-4</v>
      </c>
      <c r="AK52" s="1">
        <f xml:space="preserve"> IF(D52="XX", "XX", AI52 +AJ52)</f>
        <v>2.5477136465824651E-2</v>
      </c>
      <c r="AL52" s="1">
        <f xml:space="preserve"> IF(D52="XX", "XX", AK52 +$AK$47)</f>
        <v>3.0477136465824652E-2</v>
      </c>
      <c r="AM52" s="28">
        <f xml:space="preserve"> IF(D52="XX", "XX", 60 * ($AP$4 * $AN$47 * (2 * ABS(AL52)/R52)^0.5))</f>
        <v>1323.6325342135708</v>
      </c>
      <c r="AN52" s="29" t="str">
        <f>IF(D52="XX", "XX", IF(AL52&lt;0, "Exfl", "Infl"))</f>
        <v>Infl</v>
      </c>
      <c r="AO52" s="28">
        <f t="shared" si="27"/>
        <v>-1323.6325342135708</v>
      </c>
      <c r="AP52" s="476">
        <f>IF(D52="XX", "XX", AO52/$K$10)</f>
        <v>-0.15757530169209177</v>
      </c>
      <c r="AQ52" s="28">
        <f t="shared" si="26"/>
        <v>-27933.96853359992</v>
      </c>
      <c r="AR52" s="397">
        <f xml:space="preserve"> IF(D52="XX", "XX", AO52 * 1.08 * 3000/1000)</f>
        <v>-4288.5694108519701</v>
      </c>
    </row>
    <row r="53" spans="2:44" ht="19.05" customHeight="1">
      <c r="B53" s="12"/>
      <c r="C53" s="12"/>
      <c r="D53" s="12"/>
      <c r="E53" s="12"/>
      <c r="F53" s="12"/>
      <c r="G53" s="14"/>
      <c r="H53" s="14"/>
      <c r="I53" s="14"/>
      <c r="J53" s="14"/>
      <c r="K53" s="14"/>
      <c r="L53" s="9"/>
      <c r="M53" s="9"/>
      <c r="N53" s="18"/>
      <c r="O53" s="19"/>
      <c r="P53" s="20"/>
      <c r="Q53" s="21"/>
      <c r="R53" s="10"/>
      <c r="S53" s="56"/>
      <c r="T53" s="22"/>
      <c r="U53" s="22"/>
      <c r="Z53" s="19"/>
      <c r="AA53" s="15"/>
      <c r="AB53" s="19"/>
      <c r="AC53" s="15"/>
      <c r="AD53" s="15"/>
      <c r="AE53" s="15"/>
      <c r="AF53" s="19"/>
      <c r="AH53" s="58"/>
      <c r="AI53" s="151"/>
      <c r="AJ53" s="151"/>
      <c r="AK53" s="151"/>
      <c r="AL53" s="151"/>
      <c r="AM53" s="153"/>
      <c r="AN53" s="16"/>
      <c r="AO53" s="153"/>
      <c r="AP53" s="152"/>
      <c r="AQ53" s="153"/>
      <c r="AR53" s="153"/>
    </row>
    <row r="54" spans="2:44" ht="19.05" customHeight="1" thickBot="1">
      <c r="B54" s="66" t="str">
        <f>'Input-Output'!AK31</f>
        <v>2-A</v>
      </c>
      <c r="E54" s="13" t="s">
        <v>121</v>
      </c>
      <c r="F54" s="23"/>
      <c r="G54" s="115">
        <f>'Input-Output'!AA22</f>
        <v>3</v>
      </c>
      <c r="H54" s="435" t="s">
        <v>122</v>
      </c>
      <c r="I54" s="436"/>
      <c r="J54" s="436"/>
      <c r="K54" s="116">
        <f>'Input-Output'!AA32</f>
        <v>17280</v>
      </c>
      <c r="X54" s="75" t="str">
        <f t="shared" ref="X54:X59" si="28">B54</f>
        <v>2-A</v>
      </c>
      <c r="Z54" s="61" t="s">
        <v>125</v>
      </c>
      <c r="AA54" s="56"/>
      <c r="AB54" s="117">
        <f>'Input-Output'!AA24</f>
        <v>0.35</v>
      </c>
      <c r="AC54" s="62" t="s">
        <v>123</v>
      </c>
      <c r="AD54" s="19"/>
      <c r="AE54" s="117">
        <f>'Input-Output'!AA25</f>
        <v>0.6</v>
      </c>
      <c r="AH54" s="68" t="s">
        <v>124</v>
      </c>
      <c r="AK54" s="118">
        <f>'Input-Output'!AA26</f>
        <v>5.0000000000000001E-3</v>
      </c>
      <c r="AL54" s="150" t="s">
        <v>141</v>
      </c>
      <c r="AM54" s="151"/>
      <c r="AN54" s="155">
        <f>'Input-Output'!AA33</f>
        <v>60.48</v>
      </c>
      <c r="AO54" s="180" t="s">
        <v>222</v>
      </c>
      <c r="AP54" s="152"/>
      <c r="AR54" s="155">
        <f>SUM(AR57:AR59)/12</f>
        <v>-1263.9151777098893</v>
      </c>
    </row>
    <row r="55" spans="2:44" ht="19.05" customHeight="1">
      <c r="B55" s="162" t="s">
        <v>58</v>
      </c>
      <c r="C55" s="168" t="s">
        <v>118</v>
      </c>
      <c r="D55" s="163" t="s">
        <v>117</v>
      </c>
      <c r="E55" s="169" t="s">
        <v>66</v>
      </c>
      <c r="F55" s="163"/>
      <c r="G55" s="170" t="s">
        <v>57</v>
      </c>
      <c r="H55" s="171"/>
      <c r="I55" s="171"/>
      <c r="J55" s="171"/>
      <c r="K55" s="171" t="s">
        <v>60</v>
      </c>
      <c r="L55" s="172" t="s">
        <v>20</v>
      </c>
      <c r="M55" s="172" t="s">
        <v>21</v>
      </c>
      <c r="N55" s="172" t="s">
        <v>36</v>
      </c>
      <c r="O55" s="145" t="s">
        <v>40</v>
      </c>
      <c r="P55" s="145" t="s">
        <v>37</v>
      </c>
      <c r="Q55" s="145" t="s">
        <v>38</v>
      </c>
      <c r="R55" s="145" t="s">
        <v>39</v>
      </c>
      <c r="S55" s="145" t="s">
        <v>41</v>
      </c>
      <c r="T55" s="145" t="s">
        <v>42</v>
      </c>
      <c r="U55" s="146" t="s">
        <v>43</v>
      </c>
      <c r="X55" s="166" t="str">
        <f t="shared" si="28"/>
        <v>Level</v>
      </c>
      <c r="Y55" s="163" t="str">
        <f>D55</f>
        <v>Bldg</v>
      </c>
      <c r="Z55" s="164" t="s">
        <v>142</v>
      </c>
      <c r="AA55" s="145"/>
      <c r="AB55" s="145"/>
      <c r="AC55" s="145"/>
      <c r="AD55" s="145"/>
      <c r="AE55" s="145"/>
      <c r="AF55" s="146"/>
      <c r="AH55" s="465" t="s">
        <v>76</v>
      </c>
      <c r="AI55" s="466" t="s">
        <v>68</v>
      </c>
      <c r="AJ55" s="466" t="s">
        <v>71</v>
      </c>
      <c r="AK55" s="466" t="s">
        <v>72</v>
      </c>
      <c r="AL55" s="466" t="s">
        <v>73</v>
      </c>
      <c r="AM55" s="467" t="s">
        <v>74</v>
      </c>
      <c r="AN55" s="468" t="s">
        <v>77</v>
      </c>
      <c r="AO55" s="467" t="s">
        <v>79</v>
      </c>
      <c r="AP55" s="469" t="s">
        <v>80</v>
      </c>
      <c r="AQ55" s="467" t="s">
        <v>197</v>
      </c>
      <c r="AR55" s="470" t="s">
        <v>199</v>
      </c>
    </row>
    <row r="56" spans="2:44" ht="19.05" customHeight="1">
      <c r="B56" s="173" t="s">
        <v>31</v>
      </c>
      <c r="C56" s="174" t="s">
        <v>59</v>
      </c>
      <c r="D56" s="174" t="s">
        <v>59</v>
      </c>
      <c r="E56" s="175" t="s">
        <v>14</v>
      </c>
      <c r="F56" s="175" t="s">
        <v>15</v>
      </c>
      <c r="G56" s="176" t="s">
        <v>18</v>
      </c>
      <c r="H56" s="176" t="s">
        <v>17</v>
      </c>
      <c r="I56" s="176" t="s">
        <v>19</v>
      </c>
      <c r="J56" s="176" t="s">
        <v>16</v>
      </c>
      <c r="K56" s="176" t="s">
        <v>61</v>
      </c>
      <c r="L56" s="177" t="s">
        <v>44</v>
      </c>
      <c r="M56" s="177" t="s">
        <v>44</v>
      </c>
      <c r="N56" s="177" t="s">
        <v>44</v>
      </c>
      <c r="O56" s="174" t="s">
        <v>47</v>
      </c>
      <c r="P56" s="174" t="s">
        <v>45</v>
      </c>
      <c r="Q56" s="174" t="s">
        <v>46</v>
      </c>
      <c r="R56" s="174" t="s">
        <v>22</v>
      </c>
      <c r="S56" s="174" t="s">
        <v>48</v>
      </c>
      <c r="T56" s="174" t="s">
        <v>49</v>
      </c>
      <c r="U56" s="178" t="s">
        <v>49</v>
      </c>
      <c r="X56" s="167" t="str">
        <f t="shared" si="28"/>
        <v>ID No.</v>
      </c>
      <c r="Y56" s="72" t="str">
        <f>D56</f>
        <v>Flr No.</v>
      </c>
      <c r="Z56" s="73" t="s">
        <v>50</v>
      </c>
      <c r="AA56" s="73" t="s">
        <v>51</v>
      </c>
      <c r="AB56" s="73" t="s">
        <v>52</v>
      </c>
      <c r="AC56" s="73" t="s">
        <v>53</v>
      </c>
      <c r="AD56" s="73" t="s">
        <v>54</v>
      </c>
      <c r="AE56" s="73" t="s">
        <v>55</v>
      </c>
      <c r="AF56" s="74" t="s">
        <v>56</v>
      </c>
      <c r="AH56" s="471" t="s">
        <v>140</v>
      </c>
      <c r="AI56" s="159" t="s">
        <v>19</v>
      </c>
      <c r="AJ56" s="159" t="s">
        <v>19</v>
      </c>
      <c r="AK56" s="160" t="s">
        <v>86</v>
      </c>
      <c r="AL56" s="161" t="s">
        <v>87</v>
      </c>
      <c r="AM56" s="158" t="s">
        <v>75</v>
      </c>
      <c r="AN56" s="157" t="s">
        <v>78</v>
      </c>
      <c r="AO56" s="158" t="s">
        <v>75</v>
      </c>
      <c r="AP56" s="160" t="s">
        <v>81</v>
      </c>
      <c r="AQ56" s="158" t="s">
        <v>204</v>
      </c>
      <c r="AR56" s="472" t="s">
        <v>200</v>
      </c>
    </row>
    <row r="57" spans="2:44" ht="19.05" customHeight="1">
      <c r="B57" s="134">
        <f>'Input-Output'!AI32</f>
        <v>4</v>
      </c>
      <c r="C57" s="36">
        <f>'Input-Output'!AJ32</f>
        <v>0</v>
      </c>
      <c r="D57" s="36" t="str">
        <f>'Input-Output'!AK32</f>
        <v>XX</v>
      </c>
      <c r="E57" s="36" t="str">
        <f>'Input-Output'!AL32</f>
        <v>XX</v>
      </c>
      <c r="F57" s="36" t="str">
        <f>'Input-Output'!AM32</f>
        <v>XX</v>
      </c>
      <c r="G57" s="38" t="str">
        <f t="shared" ref="G57:G58" si="29">IF(E57="XX","XX",((101325*(1-2.25577*(10^(-5))*F57)^5.2555)/1000))</f>
        <v>XX</v>
      </c>
      <c r="H57" s="38" t="str">
        <f xml:space="preserve"> IF(E57="XX", "XX", G57*$AB$3)</f>
        <v>XX</v>
      </c>
      <c r="I57" s="38" t="str">
        <f>IF(E57="XX", "XX", G57*$AD$3)</f>
        <v>XX</v>
      </c>
      <c r="J57" s="38" t="str">
        <f xml:space="preserve"> IF(E57="XX", "XX",G57*$AF$3)</f>
        <v>XX</v>
      </c>
      <c r="K57" s="38" t="str">
        <f xml:space="preserve"> IF(E57="XX", "XX", ( $K$65 + $U$4 * (E57-$D$4)/$F$4 ) )</f>
        <v>XX</v>
      </c>
      <c r="L57" s="33" t="str">
        <f xml:space="preserve"> IF(E57="XX", "XX", $L$65 - 0.00356*(E57-$E$65))</f>
        <v>XX</v>
      </c>
      <c r="M57" s="33" t="str">
        <f>IF(E57="XX","XX ", $M$65-0.00356*(E57-$E$65))</f>
        <v xml:space="preserve">XX </v>
      </c>
      <c r="N57" s="40" t="str">
        <f>IF(E57="XX","XX",100.45+33.193*AE57+2.319*AE57^2+0.17074*AE57^3+1.2063*(AD57*0.4897705)^3)</f>
        <v>XX</v>
      </c>
      <c r="O57" s="41" t="str">
        <f>IF(E57="XX","XX ",((1093-0.556*M57)*AA57-0.24*(L57-M57))/(1093+0.444*L57-M57))</f>
        <v xml:space="preserve">XX </v>
      </c>
      <c r="P57" s="42" t="str">
        <f xml:space="preserve"> IF(E57="XX", "XX", ((O57/AF57)/(1-(1-(O57/AF57))*(AB57/J57)))*100)</f>
        <v>XX</v>
      </c>
      <c r="Q57" s="43" t="str">
        <f xml:space="preserve"> IF(E57="XX", "XX", 0.7543*(T57*(1+1.6078*O57))/H57)</f>
        <v>XX</v>
      </c>
      <c r="R57" s="34" t="str">
        <f xml:space="preserve"> IF(E57="XX", "XX", 1/Q57)</f>
        <v>XX</v>
      </c>
      <c r="S57" s="57" t="str">
        <f>IF(E57="XX", "XX", 0.24*L57+O57*(1061+0.444*L57))</f>
        <v>XX</v>
      </c>
      <c r="T57" s="44" t="str">
        <f>IF(E57="XX", "XX", L57+459.7)</f>
        <v>XX</v>
      </c>
      <c r="U57" s="133" t="str">
        <f>IF(E57="XX", "XX", M57+459.7)</f>
        <v>XX</v>
      </c>
      <c r="X57" s="147">
        <f t="shared" si="28"/>
        <v>4</v>
      </c>
      <c r="Y57" s="34" t="str">
        <f>D57</f>
        <v>XX</v>
      </c>
      <c r="Z57" s="41" t="str">
        <f xml:space="preserve"> IF(E57="XX", "XX", EXP((-10440.397/U57)+(-11.29465) + (-0.027022355*U57) + (0.00001289036*U57*U57) + (-0.0000000024780681*U57^3)+(6.5459673*LN(U57))) )</f>
        <v>XX</v>
      </c>
      <c r="AA57" s="39" t="str">
        <f>IF(E57="XX", "XX", 0.62198*Z57/(J57-Z57))</f>
        <v>XX</v>
      </c>
      <c r="AB57" s="41" t="str">
        <f xml:space="preserve"> IF(E57="XX", "XX", EXP((-10440.397/T57)+(-11.29465) + (-0.027022355*T57) + (0.00001289036*T57*T57) + (-0.0000000024780681*T57^3)+(6.5459673*LN(T57))) )</f>
        <v>XX</v>
      </c>
      <c r="AC57" s="39" t="str">
        <f>IF(E57="XX", "XX", AB57*2.041772658 )</f>
        <v>XX</v>
      </c>
      <c r="AD57" s="39" t="str">
        <f>IF(E57="XX", "XX", (H57*O57)/(0.62198+O57))</f>
        <v>XX</v>
      </c>
      <c r="AE57" s="39" t="str">
        <f>IF(E57="XX", "XX", LN(AD57*0.4897705))</f>
        <v>XX</v>
      </c>
      <c r="AF57" s="140" t="str">
        <f>IF(E57="XX", "XX", 0.62198*(AB57/(J57-AB57)))</f>
        <v>XX</v>
      </c>
      <c r="AH57" s="473" t="str">
        <f xml:space="preserve"> IF(D57="XX", "XX", E57- $D$4)</f>
        <v>XX</v>
      </c>
      <c r="AI57" s="154" t="str">
        <f xml:space="preserve"> IF(D57="XX", "XX", $AN$3 * R57 * (T57-$T$7)/$T$7 * $AP$3 * ($H$4-AH57))</f>
        <v>XX</v>
      </c>
      <c r="AJ57" s="154" t="str">
        <f xml:space="preserve"> IF(D57="XX", "XX", $AR$3 * $AN$4^2 * $AR$4 * R57 * K57^2/2)</f>
        <v>XX</v>
      </c>
      <c r="AK57" s="154" t="str">
        <f xml:space="preserve"> IF(D57="XX", "XX", AI57 +AJ57)</f>
        <v>XX</v>
      </c>
      <c r="AL57" s="154" t="str">
        <f xml:space="preserve"> IF(D57="XX", "XX", AK57 +$AK$54)</f>
        <v>XX</v>
      </c>
      <c r="AM57" s="26" t="str">
        <f xml:space="preserve"> IF(D57="XX", "XX", 60 * ($AP$4 * $AN$54 * (2 * ABS(AL57)/R57)^0.5))</f>
        <v>XX</v>
      </c>
      <c r="AN57" s="27" t="str">
        <f>IF(D57="XX", "XX", IF(AL57&lt;0, "Exfl", "Infl"))</f>
        <v>XX</v>
      </c>
      <c r="AO57" s="26" t="str">
        <f t="shared" ref="AO57:AO59" si="30" xml:space="preserve"> IF(AN57="Infl", -AM57, AM57)</f>
        <v>XX</v>
      </c>
      <c r="AP57" s="474" t="str">
        <f>IF(D57="XX", "XX", AO57/$K$10)</f>
        <v>XX</v>
      </c>
      <c r="AQ57" s="26" t="str">
        <f t="shared" ref="AQ57:AQ59" si="31">IF(D57="XX", "XX", AO57*1.08*(L57-$L$8))</f>
        <v>XX</v>
      </c>
      <c r="AR57" s="392" t="str">
        <f xml:space="preserve"> IF(D57="XX", "XX", AO57 * 1.08 * 3000/1000)</f>
        <v>XX</v>
      </c>
    </row>
    <row r="58" spans="2:44" ht="19.05" customHeight="1">
      <c r="B58" s="134">
        <f>'Input-Output'!AI33</f>
        <v>3</v>
      </c>
      <c r="C58" s="36">
        <f>'Input-Output'!AJ33</f>
        <v>2</v>
      </c>
      <c r="D58" s="36">
        <f>'Input-Output'!AK33</f>
        <v>4</v>
      </c>
      <c r="E58" s="36">
        <f>'Input-Output'!AL33</f>
        <v>576</v>
      </c>
      <c r="F58" s="36">
        <f>'Input-Output'!AM33</f>
        <v>175.56480000000002</v>
      </c>
      <c r="G58" s="38">
        <f t="shared" si="29"/>
        <v>99.233761311135282</v>
      </c>
      <c r="H58" s="38">
        <f xml:space="preserve"> IF(E58="XX", "XX", G58*$AB$3)</f>
        <v>29.383616304471516</v>
      </c>
      <c r="I58" s="38">
        <f>IF(E58="XX", "XX", G58*$AD$3)</f>
        <v>398.77739681783913</v>
      </c>
      <c r="J58" s="38">
        <f xml:space="preserve"> IF(E58="XX", "XX",G58*$AF$3)</f>
        <v>14.392634596582797</v>
      </c>
      <c r="K58" s="38">
        <f xml:space="preserve"> IF(E58="XX", "XX", ( $K$65 + $U$4 * (E58-$D$4)/$F$4 ) )</f>
        <v>5.2902979373567609</v>
      </c>
      <c r="L58" s="33">
        <f xml:space="preserve"> IF(E58="XX", "XX", $L$65 - 0.00356*(E58-$E$65))</f>
        <v>94.729439999999997</v>
      </c>
      <c r="M58" s="33">
        <f>IF(E58="XX","XX ", $M$65-0.00356*(E58-$E$65))</f>
        <v>74.729439999999997</v>
      </c>
      <c r="N58" s="40">
        <f>IF(E58="XX","XX",100.45+33.193*AE58+2.319*AE58^2+0.17074*AE58^3+1.2063*(AD58*0.4897705)^3)</f>
        <v>65.760689666297168</v>
      </c>
      <c r="O58" s="41">
        <f>IF(E58="XX","XX ",((1093-0.556*M58)*AA58-0.24*(L58-M58))/(1093+0.444*L58-M58))</f>
        <v>1.4314123733774284E-2</v>
      </c>
      <c r="P58" s="42">
        <f xml:space="preserve"> IF(E58="XX", "XX", ((O58/AF58)/(1-(1-(O58/AF58))*(AB58/J58)))*100)</f>
        <v>39.961142943503766</v>
      </c>
      <c r="Q58" s="43">
        <f xml:space="preserve"> IF(E58="XX", "XX", 0.7543*(T58*(1+1.6078*O58))/H58)</f>
        <v>14.560182849161425</v>
      </c>
      <c r="R58" s="34">
        <f xml:space="preserve"> IF(E58="XX", "XX", 1/Q58)</f>
        <v>6.8680456170067516E-2</v>
      </c>
      <c r="S58" s="57">
        <f>IF(E58="XX", "XX", 0.24*L58+O58*(1061+0.444*L58))</f>
        <v>38.524401084408183</v>
      </c>
      <c r="T58" s="44">
        <f>IF(E58="XX", "XX", L58+459.7)</f>
        <v>554.42944</v>
      </c>
      <c r="U58" s="133">
        <f>IF(E58="XX", "XX", M58+459.7)</f>
        <v>534.42944</v>
      </c>
      <c r="X58" s="147">
        <f t="shared" si="28"/>
        <v>3</v>
      </c>
      <c r="Y58" s="34">
        <f>D58</f>
        <v>4</v>
      </c>
      <c r="Z58" s="41">
        <f xml:space="preserve"> IF(E58="XX", "XX", EXP((-10440.397/U58)+(-11.29465) + (-0.027022355*U58) + (0.00001289036*U58*U58) + (-0.0000000024780681*U58^3)+(6.5459673*LN(U58))) )</f>
        <v>0.42663102445634615</v>
      </c>
      <c r="AA58" s="39">
        <f>IF(E58="XX", "XX", 0.62198*Z58/(J58-Z58))</f>
        <v>1.9000135809857547E-2</v>
      </c>
      <c r="AB58" s="41">
        <f xml:space="preserve"> IF(E58="XX", "XX", EXP((-10440.397/T58)+(-11.29465) + (-0.027022355*T58) + (0.00001289036*T58*T58) + (-0.0000000024780681*T58^3)+(6.5459673*LN(T58))) )</f>
        <v>0.81023174134750164</v>
      </c>
      <c r="AC58" s="39">
        <f>IF(E58="XX", "XX", AB58*2.041772658 )</f>
        <v>1.6543090161270571</v>
      </c>
      <c r="AD58" s="39">
        <f>IF(E58="XX", "XX", (H58*O58)/(0.62198+O58))</f>
        <v>0.66101619336018302</v>
      </c>
      <c r="AE58" s="39">
        <f>IF(E58="XX", "XX", LN(AD58*0.4897705))</f>
        <v>-1.127795306097561</v>
      </c>
      <c r="AF58" s="140">
        <f>IF(E58="XX", "XX", 0.62198*(AB58/(J58-AB58)))</f>
        <v>3.7103003338549476E-2</v>
      </c>
      <c r="AH58" s="473">
        <f xml:space="preserve"> IF(D58="XX", "XX", E58- $D$4)</f>
        <v>76</v>
      </c>
      <c r="AI58" s="154">
        <f xml:space="preserve"> IF(D58="XX", "XX", $AN$3 * R58 * (T58-$T$7)/$T$7 * $AP$3 * ($H$4-AH58))</f>
        <v>2.8202873117290313E-2</v>
      </c>
      <c r="AJ58" s="154">
        <f xml:space="preserve"> IF(D58="XX", "XX", $AR$3 * $AN$4^2 * $AR$4 * R58 * K58^2/2)</f>
        <v>1.2993918227411857E-4</v>
      </c>
      <c r="AK58" s="154">
        <f xml:space="preserve"> IF(D58="XX", "XX", AI58 +AJ58)</f>
        <v>2.8332812299564431E-2</v>
      </c>
      <c r="AL58" s="154">
        <f xml:space="preserve"> IF(D58="XX", "XX", AK58 +$AK$54)</f>
        <v>3.3332812299564432E-2</v>
      </c>
      <c r="AM58" s="26">
        <f xml:space="preserve"> IF(D58="XX", "XX", 60 * ($AP$4 * $AN$54 * (2 * AL58/R58)^0.5))</f>
        <v>2323.8643855797668</v>
      </c>
      <c r="AN58" s="27" t="str">
        <f>IF(D58="XX", "XX", IF(AL58&lt;0, "Exfl", "Infl"))</f>
        <v>Infl</v>
      </c>
      <c r="AO58" s="26">
        <f t="shared" si="30"/>
        <v>-2323.8643855797668</v>
      </c>
      <c r="AP58" s="474">
        <f>IF(D58="XX", "XX", AO58/$K$10)</f>
        <v>-0.27665052209282937</v>
      </c>
      <c r="AQ58" s="26">
        <f t="shared" si="31"/>
        <v>-49516.426400507502</v>
      </c>
      <c r="AR58" s="392">
        <f xml:space="preserve"> IF(D58="XX", "XX", AO58 * 1.08 * 3000/1000)</f>
        <v>-7529.3206092784449</v>
      </c>
    </row>
    <row r="59" spans="2:44" ht="19.05" customHeight="1" thickBot="1">
      <c r="B59" s="135">
        <f>'Input-Output'!AI34</f>
        <v>2</v>
      </c>
      <c r="C59" s="102">
        <f>'Input-Output'!AJ34</f>
        <v>1</v>
      </c>
      <c r="D59" s="102">
        <f>'Input-Output'!AK34</f>
        <v>3</v>
      </c>
      <c r="E59" s="102">
        <f>'Input-Output'!AL34</f>
        <v>558</v>
      </c>
      <c r="F59" s="102">
        <f>'Input-Output'!AM34</f>
        <v>170.07840000000002</v>
      </c>
      <c r="G59" s="103">
        <f>IF(E59="XX","XX",((101325*(1-2.25577*(10^(-5))*F59)^5.2555)/1000))</f>
        <v>99.298579063011957</v>
      </c>
      <c r="H59" s="103">
        <f xml:space="preserve"> IF(E59="XX", "XX", G59*$AB$3)</f>
        <v>29.402809167119251</v>
      </c>
      <c r="I59" s="103">
        <f>IF(E59="XX", "XX", G59*$AD$3)</f>
        <v>399.03787121707029</v>
      </c>
      <c r="J59" s="103">
        <f xml:space="preserve"> IF(E59="XX", "XX",G59*$AF$3)</f>
        <v>14.402035612988977</v>
      </c>
      <c r="K59" s="103">
        <f xml:space="preserve"> IF(E59="XX", "XX", ( $K$65 + $U$4 * (E59-$D$4)/$F$4 ) )</f>
        <v>5.2215431627196329</v>
      </c>
      <c r="L59" s="123">
        <f xml:space="preserve"> IF(E59="XX", "XX", $L$65 - 0.00356*(E59-$E$65))</f>
        <v>94.793520000000001</v>
      </c>
      <c r="M59" s="123">
        <f>IF(E59="XX","XX ", $M$65-0.00356*(E59-$E$65))</f>
        <v>74.793520000000001</v>
      </c>
      <c r="N59" s="124">
        <f>IF(E59="XX","XX",100.45+33.193*AE59+2.319*AE59^2+0.17074*AE59^3+1.2063*(AD59*0.4897705)^3)</f>
        <v>65.835889995852796</v>
      </c>
      <c r="O59" s="125">
        <f>IF(E59="XX","XX ",((1093-0.556*M59)*AA59-0.24*(L59-M59))/(1093+0.444*L59-M59))</f>
        <v>1.4342905244283104E-2</v>
      </c>
      <c r="P59" s="126">
        <f xml:space="preserve"> IF(E59="XX", "XX", ((O59/AF59)/(1-(1-(O59/AF59))*(AB59/J59)))*100)</f>
        <v>39.986956894672247</v>
      </c>
      <c r="Q59" s="127">
        <f xml:space="preserve"> IF(E59="XX", "XX", 0.7543*(T59*(1+1.6078*O59))/H59)</f>
        <v>14.553018603409573</v>
      </c>
      <c r="R59" s="128">
        <f xml:space="preserve"> IF(E59="XX", "XX", 1/Q59)</f>
        <v>6.8714266589730996E-2</v>
      </c>
      <c r="S59" s="129">
        <f>IF(E59="XX", "XX", 0.24*L59+O59*(1061+0.444*L59))</f>
        <v>38.571936091143009</v>
      </c>
      <c r="T59" s="130">
        <f>IF(E59="XX", "XX", L59+459.7)</f>
        <v>554.49351999999999</v>
      </c>
      <c r="U59" s="131">
        <f>IF(E59="XX", "XX", M59+459.7)</f>
        <v>534.49351999999999</v>
      </c>
      <c r="X59" s="148">
        <f t="shared" si="28"/>
        <v>2</v>
      </c>
      <c r="Y59" s="128">
        <f>D59</f>
        <v>3</v>
      </c>
      <c r="Z59" s="125">
        <f xml:space="preserve"> IF(E59="XX", "XX", EXP((-10440.397/U59)+(-11.29465) + (-0.027022355*U59) + (0.00001289036*U59*U59) + (-0.0000000024780681*U59^3)+(6.5459673*LN(U59))) )</f>
        <v>0.42754594123487988</v>
      </c>
      <c r="AA59" s="142">
        <f>IF(E59="XX", "XX", 0.62198*Z59/(J59-Z59))</f>
        <v>1.9029319193442241E-2</v>
      </c>
      <c r="AB59" s="125">
        <f xml:space="preserve"> IF(E59="XX", "XX", EXP((-10440.397/T59)+(-11.29465) + (-0.027022355*T59) + (0.00001289036*T59*T59) + (-0.0000000024780681*T59^3)+(6.5459673*LN(T59))) )</f>
        <v>0.81183000516944437</v>
      </c>
      <c r="AC59" s="142">
        <f>IF(E59="XX", "XX", AB59*2.041772658 )</f>
        <v>1.6575723074989703</v>
      </c>
      <c r="AD59" s="142">
        <f>IF(E59="XX", "XX", (H59*O59)/(0.62198+O59))</f>
        <v>0.66274795756068516</v>
      </c>
      <c r="AE59" s="142">
        <f>IF(E59="XX", "XX", LN(AD59*0.4897705))</f>
        <v>-1.1251788805247382</v>
      </c>
      <c r="AF59" s="149">
        <f>IF(E59="XX", "XX", 0.62198*(AB59/(J59-AB59)))</f>
        <v>3.7154848218393211E-2</v>
      </c>
      <c r="AH59" s="475">
        <f xml:space="preserve"> IF(D59="XX", "XX", E59- $D$4)</f>
        <v>58</v>
      </c>
      <c r="AI59" s="1">
        <f xml:space="preserve"> IF(D59="XX", "XX", $AN$3 * R59 * (T59-$T$7)/$T$7 * $AP$3 * ($H$4-AH59))</f>
        <v>2.9189217896328081E-2</v>
      </c>
      <c r="AJ59" s="1">
        <f xml:space="preserve"> IF(D59="XX", "XX", $AR$3 * $AN$4^2 * $AR$4 * R59 * K59^2/2)</f>
        <v>1.266459645958218E-4</v>
      </c>
      <c r="AK59" s="1">
        <f xml:space="preserve"> IF(D59="XX", "XX", AI59 +AJ59)</f>
        <v>2.9315863860923903E-2</v>
      </c>
      <c r="AL59" s="1">
        <f xml:space="preserve"> IF(D59="XX", "XX", AK59 +$AK$54)</f>
        <v>3.4315863860923904E-2</v>
      </c>
      <c r="AM59" s="28">
        <f xml:space="preserve"> IF(D59="XX", "XX", 60 * ($AP$4 * $AN$54 * (2 * AL59/R59)^0.5))</f>
        <v>2357.3029392716749</v>
      </c>
      <c r="AN59" s="29" t="str">
        <f>IF(D59="XX", "XX", IF(AL59&lt;0, "Exfl", "Infl"))</f>
        <v>Infl</v>
      </c>
      <c r="AO59" s="28">
        <f t="shared" si="30"/>
        <v>-2357.3029392716749</v>
      </c>
      <c r="AP59" s="476">
        <f>IF(D59="XX", "XX", AO59/$K$10)</f>
        <v>-0.28063130229424699</v>
      </c>
      <c r="AQ59" s="28">
        <f t="shared" si="31"/>
        <v>-50392.068704495301</v>
      </c>
      <c r="AR59" s="397">
        <f xml:space="preserve"> IF(D59="XX", "XX", AO59 * 1.08 * 3000/1000)</f>
        <v>-7637.6615232402273</v>
      </c>
    </row>
    <row r="60" spans="2:44" ht="19.05" customHeight="1">
      <c r="B60" s="12"/>
      <c r="C60" s="12"/>
      <c r="D60" s="12"/>
      <c r="E60" s="12"/>
      <c r="F60" s="12"/>
      <c r="G60" s="14"/>
      <c r="H60" s="14"/>
      <c r="I60" s="14"/>
      <c r="J60" s="14"/>
      <c r="K60" s="14"/>
      <c r="L60" s="9"/>
      <c r="M60" s="9"/>
      <c r="N60" s="18"/>
      <c r="O60" s="19"/>
      <c r="P60" s="20"/>
      <c r="Q60" s="21"/>
      <c r="R60" s="10"/>
      <c r="S60" s="56"/>
      <c r="T60" s="22"/>
      <c r="U60" s="22"/>
      <c r="Z60" s="19"/>
      <c r="AA60" s="15"/>
      <c r="AB60" s="19"/>
      <c r="AC60" s="15"/>
      <c r="AD60" s="15"/>
      <c r="AE60" s="15"/>
      <c r="AF60" s="19"/>
      <c r="AH60" s="58"/>
      <c r="AI60" s="151"/>
      <c r="AJ60" s="151"/>
      <c r="AK60" s="151"/>
      <c r="AL60" s="151"/>
      <c r="AM60" s="153"/>
      <c r="AN60" s="16"/>
      <c r="AO60" s="153"/>
      <c r="AP60" s="152"/>
      <c r="AQ60" s="153"/>
      <c r="AR60" s="153"/>
    </row>
    <row r="61" spans="2:44" ht="19.05" customHeight="1" thickBot="1">
      <c r="B61" s="66">
        <f>'Input-Output'!AK35</f>
        <v>1</v>
      </c>
      <c r="E61" s="13" t="s">
        <v>121</v>
      </c>
      <c r="F61" s="23"/>
      <c r="G61" s="115">
        <f>'Input-Output'!Z22</f>
        <v>2</v>
      </c>
      <c r="H61" s="435" t="s">
        <v>122</v>
      </c>
      <c r="I61" s="436"/>
      <c r="J61" s="436"/>
      <c r="K61" s="116">
        <f>'Input-Output'!Z32</f>
        <v>22400</v>
      </c>
      <c r="X61" s="75">
        <f>B61</f>
        <v>1</v>
      </c>
      <c r="Z61" s="61" t="s">
        <v>125</v>
      </c>
      <c r="AA61" s="56"/>
      <c r="AB61" s="117">
        <f>'Input-Output'!Z24</f>
        <v>0.4</v>
      </c>
      <c r="AC61" s="62" t="s">
        <v>123</v>
      </c>
      <c r="AD61" s="19"/>
      <c r="AE61" s="117">
        <f>'Input-Output'!Z25</f>
        <v>0.6</v>
      </c>
      <c r="AH61" s="68" t="s">
        <v>124</v>
      </c>
      <c r="AK61" s="118">
        <f>'Input-Output'!Z26</f>
        <v>0</v>
      </c>
      <c r="AL61" s="150" t="s">
        <v>141</v>
      </c>
      <c r="AM61" s="151"/>
      <c r="AN61" s="155">
        <f>'Input-Output'!Z33</f>
        <v>89.600000000000009</v>
      </c>
      <c r="AO61" s="180" t="s">
        <v>222</v>
      </c>
      <c r="AP61" s="152"/>
      <c r="AR61" s="155">
        <f>SUM(AR64:AR65)/12</f>
        <v>-1819.0112976674936</v>
      </c>
    </row>
    <row r="62" spans="2:44" ht="19.05" customHeight="1">
      <c r="B62" s="162" t="s">
        <v>58</v>
      </c>
      <c r="C62" s="168" t="s">
        <v>118</v>
      </c>
      <c r="D62" s="163" t="s">
        <v>117</v>
      </c>
      <c r="E62" s="169" t="s">
        <v>66</v>
      </c>
      <c r="F62" s="163"/>
      <c r="G62" s="170" t="s">
        <v>57</v>
      </c>
      <c r="H62" s="171"/>
      <c r="I62" s="171"/>
      <c r="J62" s="171"/>
      <c r="K62" s="171" t="s">
        <v>60</v>
      </c>
      <c r="L62" s="172" t="s">
        <v>20</v>
      </c>
      <c r="M62" s="172" t="s">
        <v>21</v>
      </c>
      <c r="N62" s="172" t="s">
        <v>36</v>
      </c>
      <c r="O62" s="145" t="s">
        <v>40</v>
      </c>
      <c r="P62" s="145" t="s">
        <v>37</v>
      </c>
      <c r="Q62" s="145" t="s">
        <v>38</v>
      </c>
      <c r="R62" s="145" t="s">
        <v>39</v>
      </c>
      <c r="S62" s="145" t="s">
        <v>41</v>
      </c>
      <c r="T62" s="145" t="s">
        <v>42</v>
      </c>
      <c r="U62" s="146" t="s">
        <v>43</v>
      </c>
      <c r="X62" s="415" t="str">
        <f>B62</f>
        <v>Level</v>
      </c>
      <c r="Y62" s="416" t="str">
        <f>D62</f>
        <v>Bldg</v>
      </c>
      <c r="Z62" s="417" t="s">
        <v>142</v>
      </c>
      <c r="AA62" s="418"/>
      <c r="AB62" s="418"/>
      <c r="AC62" s="418"/>
      <c r="AD62" s="418"/>
      <c r="AE62" s="418"/>
      <c r="AF62" s="419"/>
      <c r="AH62" s="465" t="s">
        <v>76</v>
      </c>
      <c r="AI62" s="466" t="s">
        <v>68</v>
      </c>
      <c r="AJ62" s="466" t="s">
        <v>71</v>
      </c>
      <c r="AK62" s="466" t="s">
        <v>72</v>
      </c>
      <c r="AL62" s="466" t="s">
        <v>73</v>
      </c>
      <c r="AM62" s="467" t="s">
        <v>74</v>
      </c>
      <c r="AN62" s="468" t="s">
        <v>77</v>
      </c>
      <c r="AO62" s="467" t="s">
        <v>79</v>
      </c>
      <c r="AP62" s="469" t="s">
        <v>80</v>
      </c>
      <c r="AQ62" s="467" t="s">
        <v>197</v>
      </c>
      <c r="AR62" s="470" t="s">
        <v>199</v>
      </c>
    </row>
    <row r="63" spans="2:44" ht="19.05" customHeight="1">
      <c r="B63" s="173" t="s">
        <v>31</v>
      </c>
      <c r="C63" s="174" t="s">
        <v>59</v>
      </c>
      <c r="D63" s="174" t="s">
        <v>59</v>
      </c>
      <c r="E63" s="175" t="s">
        <v>14</v>
      </c>
      <c r="F63" s="175" t="s">
        <v>15</v>
      </c>
      <c r="G63" s="176" t="s">
        <v>18</v>
      </c>
      <c r="H63" s="176" t="s">
        <v>17</v>
      </c>
      <c r="I63" s="176" t="s">
        <v>19</v>
      </c>
      <c r="J63" s="176" t="s">
        <v>16</v>
      </c>
      <c r="K63" s="176" t="s">
        <v>61</v>
      </c>
      <c r="L63" s="177" t="s">
        <v>44</v>
      </c>
      <c r="M63" s="177" t="s">
        <v>44</v>
      </c>
      <c r="N63" s="177" t="s">
        <v>44</v>
      </c>
      <c r="O63" s="174" t="s">
        <v>47</v>
      </c>
      <c r="P63" s="174" t="s">
        <v>45</v>
      </c>
      <c r="Q63" s="174" t="s">
        <v>46</v>
      </c>
      <c r="R63" s="174" t="s">
        <v>22</v>
      </c>
      <c r="S63" s="174" t="s">
        <v>48</v>
      </c>
      <c r="T63" s="174" t="s">
        <v>49</v>
      </c>
      <c r="U63" s="178" t="s">
        <v>49</v>
      </c>
      <c r="X63" s="167" t="str">
        <f>B63</f>
        <v>ID No.</v>
      </c>
      <c r="Y63" s="72" t="str">
        <f>D63</f>
        <v>Flr No.</v>
      </c>
      <c r="Z63" s="73" t="s">
        <v>50</v>
      </c>
      <c r="AA63" s="73" t="s">
        <v>51</v>
      </c>
      <c r="AB63" s="73" t="s">
        <v>52</v>
      </c>
      <c r="AC63" s="73" t="s">
        <v>53</v>
      </c>
      <c r="AD63" s="73" t="s">
        <v>54</v>
      </c>
      <c r="AE63" s="73" t="s">
        <v>55</v>
      </c>
      <c r="AF63" s="74" t="s">
        <v>56</v>
      </c>
      <c r="AH63" s="471" t="s">
        <v>140</v>
      </c>
      <c r="AI63" s="159" t="s">
        <v>19</v>
      </c>
      <c r="AJ63" s="159" t="s">
        <v>19</v>
      </c>
      <c r="AK63" s="160" t="s">
        <v>86</v>
      </c>
      <c r="AL63" s="161" t="s">
        <v>87</v>
      </c>
      <c r="AM63" s="158" t="s">
        <v>75</v>
      </c>
      <c r="AN63" s="157" t="s">
        <v>78</v>
      </c>
      <c r="AO63" s="158" t="s">
        <v>75</v>
      </c>
      <c r="AP63" s="160" t="s">
        <v>81</v>
      </c>
      <c r="AQ63" s="158" t="s">
        <v>204</v>
      </c>
      <c r="AR63" s="472" t="s">
        <v>200</v>
      </c>
    </row>
    <row r="64" spans="2:44" ht="19.05" customHeight="1">
      <c r="B64" s="134">
        <f>'Input-Output'!AI36</f>
        <v>2</v>
      </c>
      <c r="C64" s="35">
        <f>'Input-Output'!AJ36</f>
        <v>2</v>
      </c>
      <c r="D64" s="35">
        <f>'Input-Output'!AK36</f>
        <v>2</v>
      </c>
      <c r="E64" s="36">
        <f>'Input-Output'!AL36</f>
        <v>520</v>
      </c>
      <c r="F64" s="36">
        <f>'Input-Output'!AM36</f>
        <v>158.49600000000001</v>
      </c>
      <c r="G64" s="38">
        <f>IF(E64="XX","XX",((101325*(1-2.25577*(10^(-5))*F64)^5.2555)/1000))</f>
        <v>99.43552912217578</v>
      </c>
      <c r="H64" s="38">
        <f xml:space="preserve"> IF(E64="XX", "XX", G64*$AB$3)</f>
        <v>29.443360769095996</v>
      </c>
      <c r="I64" s="38">
        <f>IF(E64="XX", "XX", G64*$AD$3)</f>
        <v>399.58821403755621</v>
      </c>
      <c r="J64" s="38">
        <f xml:space="preserve"> IF(E64="XX", "XX",G64*$AF$3)</f>
        <v>14.421898531954078</v>
      </c>
      <c r="K64" s="38">
        <f xml:space="preserve"> IF(E64="XX", "XX", ( $K$65 + $U$4 * (E64-$D$4)/$F$4 ) )</f>
        <v>5.0763941940412529</v>
      </c>
      <c r="L64" s="33">
        <f xml:space="preserve"> IF(E64="XX", "XX", $L$65 - 0.00356*(E64-$E$65))</f>
        <v>94.928799999999995</v>
      </c>
      <c r="M64" s="33">
        <f>IF(E64="XX","XX ", $M$65-0.00356*(E64-$E$65))</f>
        <v>74.928799999999995</v>
      </c>
      <c r="N64" s="40">
        <f>IF(E64="XX","XX",100.45+33.193*AE64+2.319*AE64^2+0.17074*AE64^3+1.2063*(AD64*0.4897705)^3)</f>
        <v>65.994576400421977</v>
      </c>
      <c r="O64" s="41">
        <f>IF(E64="XX","XX ",((1093-0.556*M64)*AA64-0.24*(L64-M64))/(1093+0.444*L64-M64))</f>
        <v>1.4403784409012596E-2</v>
      </c>
      <c r="P64" s="42">
        <f xml:space="preserve"> IF(E64="XX", "XX", ((O64/AF64)/(1-(1-(O64/AF64))*(AB64/J64)))*100)</f>
        <v>40.04135797802352</v>
      </c>
      <c r="Q64" s="43">
        <f xml:space="preserve"> IF(E64="XX", "XX", 0.7543*(T64*(1+1.6078*O64))/H64)</f>
        <v>14.537911496192812</v>
      </c>
      <c r="R64" s="34">
        <f xml:space="preserve"> IF(E64="XX", "XX", 1/Q64)</f>
        <v>6.8785671192308467E-2</v>
      </c>
      <c r="S64" s="57">
        <f>IF(E64="XX", "XX", 0.24*L64+O64*(1061+0.444*L64))</f>
        <v>38.672423540378745</v>
      </c>
      <c r="T64" s="44">
        <f>IF(E64="XX", "XX", L64+459.7)</f>
        <v>554.62879999999996</v>
      </c>
      <c r="U64" s="133">
        <f>IF(E64="XX", "XX", M64+459.7)</f>
        <v>534.62879999999996</v>
      </c>
      <c r="X64" s="147">
        <f>B64</f>
        <v>2</v>
      </c>
      <c r="Y64" s="34">
        <f>D64</f>
        <v>2</v>
      </c>
      <c r="Z64" s="41">
        <f xml:space="preserve"> IF(E64="XX", "XX", EXP((-10440.397/U64)+(-11.29465) + (-0.027022355*U64) + (0.00001289036*U64*U64) + (-0.0000000024780681*U64^3)+(6.5459673*LN(U64))) )</f>
        <v>0.42948305934315145</v>
      </c>
      <c r="AA64" s="39">
        <f>IF(E64="XX", "XX", 0.62198*Z64/(J64-Z64))</f>
        <v>1.9091047844679816E-2</v>
      </c>
      <c r="AB64" s="41">
        <f xml:space="preserve"> IF(E64="XX", "XX", EXP((-10440.397/T64)+(-11.29465) + (-0.027022355*T64) + (0.00001289036*T64*T64) + (-0.0000000024780681*T64^3)+(6.5459673*LN(T64))) )</f>
        <v>0.81521309121054697</v>
      </c>
      <c r="AC64" s="39">
        <f>IF(E64="XX", "XX", AB64*2.041772658 )</f>
        <v>1.6644798000773551</v>
      </c>
      <c r="AD64" s="39">
        <f>IF(E64="XX", "XX", (H64*O64)/(0.62198+O64))</f>
        <v>0.66641519030639829</v>
      </c>
      <c r="AE64" s="39">
        <f>IF(E64="XX", "XX", LN(AD64*0.4897705))</f>
        <v>-1.1196607587545178</v>
      </c>
      <c r="AF64" s="140">
        <f>IF(E64="XX", "XX", 0.62198*(AB64/(J64-AB64)))</f>
        <v>3.7264493302156379E-2</v>
      </c>
      <c r="AH64" s="473">
        <f xml:space="preserve"> IF(D64="XX", "XX", E64- $D$4)</f>
        <v>20</v>
      </c>
      <c r="AI64" s="154">
        <f xml:space="preserve"> IF(D64="XX", "XX", $AN$3 * R64 * (T64-$T$7)/$T$7 * $AP$3 * ($H$4-AH64))</f>
        <v>3.1293404603720092E-2</v>
      </c>
      <c r="AJ64" s="154">
        <f xml:space="preserve"> IF(D64="XX", "XX", $AR$3 * $AN$4^2 * $AR$4 * R64 * K64^2/2)</f>
        <v>1.1982718385340269E-4</v>
      </c>
      <c r="AK64" s="154">
        <f xml:space="preserve"> IF(D64="XX", "XX", AI64 +AJ64)</f>
        <v>3.1413231787573492E-2</v>
      </c>
      <c r="AL64" s="154">
        <f xml:space="preserve"> IF(D64="XX", "XX", AK64 +$AK$61)</f>
        <v>3.1413231787573492E-2</v>
      </c>
      <c r="AM64" s="26">
        <f xml:space="preserve"> IF(D64="XX", "XX", 60 * ($AP$4 * $AN$61 * (2 * ABS(AL64)/R64)^0.5))</f>
        <v>3339.6037054678604</v>
      </c>
      <c r="AN64" s="27" t="str">
        <f>IF(D64="XX", "XX", IF(AL64&lt;0, "Exfl", "Infl"))</f>
        <v>Infl</v>
      </c>
      <c r="AO64" s="26">
        <f t="shared" ref="AO64" si="32" xml:space="preserve"> IF(AN64="Infl", -AM64, AM64)</f>
        <v>-3339.6037054678604</v>
      </c>
      <c r="AP64" s="474">
        <f>IF(D64="XX", "XX", AO64/$K$10)</f>
        <v>-0.39757186969855479</v>
      </c>
      <c r="AQ64" s="26">
        <f t="shared" ref="AQ64:AQ65" si="33">IF(D64="XX", "XX", AO64*1.08*(L64-$L$8))</f>
        <v>-71878.637871570114</v>
      </c>
      <c r="AR64" s="392">
        <f xml:space="preserve"> IF(D64="XX", "XX", AO64 * 1.08 * 3000/1000)</f>
        <v>-10820.316005715868</v>
      </c>
    </row>
    <row r="65" spans="2:44" ht="19.05" customHeight="1" thickBot="1">
      <c r="B65" s="135">
        <f>'Input-Output'!AI37</f>
        <v>1</v>
      </c>
      <c r="C65" s="101">
        <f>'Input-Output'!AJ37</f>
        <v>1</v>
      </c>
      <c r="D65" s="101">
        <f>'Input-Output'!AK37</f>
        <v>1</v>
      </c>
      <c r="E65" s="102">
        <f>'Input-Output'!AL37</f>
        <v>500</v>
      </c>
      <c r="F65" s="102">
        <f>'Input-Output'!AM37</f>
        <v>152.4</v>
      </c>
      <c r="G65" s="103">
        <f>IF(E65="XX","XX",((101325*(1-2.25577*(10^(-5))*F65)^5.2555)/1000))</f>
        <v>99.507669506043712</v>
      </c>
      <c r="H65" s="103">
        <f xml:space="preserve"> IF(E65="XX", "XX", G65*$AB$3)</f>
        <v>29.464721899941239</v>
      </c>
      <c r="I65" s="103">
        <f>IF(E65="XX", "XX", G65*$AD$3)</f>
        <v>399.87811491508211</v>
      </c>
      <c r="J65" s="103">
        <f xml:space="preserve"> IF(E65="XX", "XX",G65*$AF$3)</f>
        <v>14.432361605921546</v>
      </c>
      <c r="K65" s="103">
        <f>IF(E65="XX", "XX", 'Input-Output'!AF6)</f>
        <v>5</v>
      </c>
      <c r="L65" s="136">
        <f>'Input-Output'!AF8</f>
        <v>95</v>
      </c>
      <c r="M65" s="136">
        <f>'Input-Output'!AF9</f>
        <v>75</v>
      </c>
      <c r="N65" s="124">
        <f>100.45+33.193*AE65+2.319*AE65^2+0.17074*AE65^3+1.2063*(AD65*0.4897705)^3</f>
        <v>66.078057703881669</v>
      </c>
      <c r="O65" s="125">
        <f>((1093-0.556*M65)*AA65 - 0.24*(L65-M65))/(1093 + 0.444*L65-M65)</f>
        <v>1.4435890591687118E-2</v>
      </c>
      <c r="P65" s="126">
        <f>((O65/AF65)/(1-(1-(O65/AF65))*(AB65/J65)))*100</f>
        <v>40.069938452126571</v>
      </c>
      <c r="Q65" s="127">
        <f>0.7543*(T65*(1+1.6078*O65))/H65</f>
        <v>14.529969868494526</v>
      </c>
      <c r="R65" s="128">
        <f xml:space="preserve"> 1/Q65</f>
        <v>6.8823267291717491E-2</v>
      </c>
      <c r="S65" s="129">
        <f>0.24*L65+O65*(1061+0.444*L65)</f>
        <v>38.725385782937394</v>
      </c>
      <c r="T65" s="130">
        <f>L65+459.7</f>
        <v>554.70000000000005</v>
      </c>
      <c r="U65" s="131">
        <f>M65+459.7</f>
        <v>534.70000000000005</v>
      </c>
      <c r="X65" s="148">
        <f>B65</f>
        <v>1</v>
      </c>
      <c r="Y65" s="128">
        <f>D65</f>
        <v>1</v>
      </c>
      <c r="Z65" s="125">
        <f xml:space="preserve"> EXP((-10440.397/U65)+(-11.29465) + (-0.027022355*U65) + (0.00001289036*U65*U65) + (-0.0000000024780681*U65^3)+(6.5459673*LN(U65)))</f>
        <v>0.43050566941181179</v>
      </c>
      <c r="AA65" s="142">
        <f>0.62198*Z65/(J65-Z65)</f>
        <v>1.9123601719295016E-2</v>
      </c>
      <c r="AB65" s="125">
        <f xml:space="preserve"> EXP((-10440.397/T65)+(-11.29465) + (-0.027022355*T65) + (0.00001289036*T65*T65) + (-0.0000000024780681*T65^3)+(6.5459673*LN(T65)))</f>
        <v>0.8169985641775287</v>
      </c>
      <c r="AC65" s="142">
        <f>AB65*2.041772658</f>
        <v>1.6681253299629366</v>
      </c>
      <c r="AD65" s="142">
        <f>(H65*O65)/(0.62198+O65)</f>
        <v>0.66835147888369684</v>
      </c>
      <c r="AE65" s="142">
        <f>LN(AD65*0.4897705)</f>
        <v>-1.1167594427713721</v>
      </c>
      <c r="AF65" s="149">
        <f>0.62198*(AB65/(J65-AB65))</f>
        <v>3.7322307557217257E-2</v>
      </c>
      <c r="AH65" s="475">
        <f xml:space="preserve"> IF(D65="XX", "XX", E65- $D$4)</f>
        <v>0</v>
      </c>
      <c r="AI65" s="1">
        <f xml:space="preserve"> IF(D65="XX", "XX", $AN$3 * R65 * (T65-$T$7)/$T$7 * $AP$3 * ($H$4-AH65))</f>
        <v>3.2412833152563325E-2</v>
      </c>
      <c r="AJ65" s="1">
        <f xml:space="preserve"> IF(D65="XX", "XX", $AR$3 * $AN$4^2 * $AR$4 * R65 * K65^2/2)</f>
        <v>1.1631132172300259E-4</v>
      </c>
      <c r="AK65" s="1">
        <f xml:space="preserve"> IF(D65="XX", "XX", AI65 +AJ65)</f>
        <v>3.2529144474286328E-2</v>
      </c>
      <c r="AL65" s="1">
        <f xml:space="preserve"> IF(D65="XX", "XX", AK65 +$AK$61)</f>
        <v>3.2529144474286328E-2</v>
      </c>
      <c r="AM65" s="28">
        <f xml:space="preserve"> IF(D65="XX", "XX", 60 * ($AP$4 * $AN$61 * (2 * ABS(AL65)/R65)^0.5))</f>
        <v>3397.4751747821151</v>
      </c>
      <c r="AN65" s="29" t="str">
        <f>IF(D65="XX", "XX", IF(AL65&lt;0, "Exfl", "Infl"))</f>
        <v>Infl</v>
      </c>
      <c r="AO65" s="28">
        <f t="shared" ref="AO65" si="34" xml:space="preserve"> IF(AN65="Infl", -AM65, AM65)</f>
        <v>-3397.4751747821151</v>
      </c>
      <c r="AP65" s="476">
        <f>IF(D65="XX", "XX", AO65/$K$10)</f>
        <v>-0.40446133033120418</v>
      </c>
      <c r="AQ65" s="28">
        <f t="shared" si="33"/>
        <v>-73385.463775293698</v>
      </c>
      <c r="AR65" s="397">
        <f xml:space="preserve"> IF(D65="XX", "XX", AO65 * 1.08 * 3000/1000)</f>
        <v>-11007.819566294054</v>
      </c>
    </row>
  </sheetData>
  <mergeCells count="2">
    <mergeCell ref="O4:P4"/>
    <mergeCell ref="K4:L4"/>
  </mergeCells>
  <pageMargins left="0.7" right="0.7" top="0.75" bottom="0.75" header="0.3" footer="0.3"/>
  <pageSetup scale="54" orientation="portrait" r:id="rId1"/>
  <headerFooter>
    <oddHeader>&amp;L&amp;18&amp;F&amp;R&amp;18&amp;A</oddHeader>
    <oddFooter>&amp;L&amp;18Varkie C. Thomas, Ph.D., P.E.&amp;C&amp;18College of Architecture&amp;R&amp;18Illinois Institute Of Technology, Chicago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AR65"/>
  <sheetViews>
    <sheetView zoomScale="70" zoomScaleNormal="70" workbookViewId="0">
      <selection activeCell="H10" sqref="H10"/>
    </sheetView>
  </sheetViews>
  <sheetFormatPr defaultColWidth="6.69921875" defaultRowHeight="19.05" customHeight="1"/>
  <cols>
    <col min="1" max="1" width="2.69921875" style="4" customWidth="1"/>
    <col min="2" max="2" width="6.19921875" style="31" customWidth="1"/>
    <col min="3" max="4" width="6.19921875" style="32" customWidth="1"/>
    <col min="5" max="6" width="7.19921875" style="32" customWidth="1"/>
    <col min="7" max="7" width="7.19921875" style="3" customWidth="1"/>
    <col min="8" max="10" width="7.69921875" style="429" customWidth="1"/>
    <col min="11" max="11" width="7.19921875" style="3" customWidth="1"/>
    <col min="12" max="14" width="7.19921875" style="2" customWidth="1"/>
    <col min="15" max="15" width="8.19921875" style="2" customWidth="1"/>
    <col min="16" max="16" width="7.19921875" style="3" customWidth="1"/>
    <col min="17" max="17" width="7.19921875" style="429" customWidth="1"/>
    <col min="18" max="18" width="8.19921875" style="481" customWidth="1"/>
    <col min="19" max="19" width="8.19921875" style="59" customWidth="1"/>
    <col min="20" max="21" width="7.69921875" style="3" customWidth="1"/>
    <col min="22" max="23" width="2.69921875" style="3" customWidth="1"/>
    <col min="24" max="25" width="6.19921875" style="3" customWidth="1"/>
    <col min="26" max="31" width="7.19921875" style="3" customWidth="1"/>
    <col min="32" max="32" width="7.19921875" style="4" customWidth="1"/>
    <col min="33" max="33" width="2.69921875" style="4" customWidth="1"/>
    <col min="34" max="34" width="7.19921875" style="4" customWidth="1"/>
    <col min="35" max="42" width="7.19921875" style="186" customWidth="1"/>
    <col min="43" max="43" width="7.69921875" style="428" customWidth="1"/>
    <col min="44" max="44" width="7.19921875" style="428" customWidth="1"/>
    <col min="45" max="46" width="2.69921875" style="4" customWidth="1"/>
    <col min="47" max="16384" width="6.69921875" style="4"/>
  </cols>
  <sheetData>
    <row r="2" spans="1:44" ht="19.05" customHeight="1" thickBot="1">
      <c r="B2" s="7" t="s">
        <v>138</v>
      </c>
      <c r="C2" s="7"/>
      <c r="D2" s="7"/>
      <c r="E2" s="7"/>
      <c r="F2" s="7"/>
      <c r="G2" s="7"/>
      <c r="H2" s="430"/>
      <c r="I2" s="430"/>
      <c r="J2" s="430"/>
      <c r="K2" s="10"/>
      <c r="L2" s="63" t="s">
        <v>67</v>
      </c>
      <c r="M2" s="8"/>
      <c r="N2" s="9"/>
      <c r="O2" s="9"/>
      <c r="P2" s="64"/>
      <c r="Q2" s="14"/>
      <c r="R2" s="482"/>
      <c r="S2" s="17"/>
      <c r="AG2" s="55"/>
    </row>
    <row r="3" spans="1:44" ht="19.05" customHeight="1">
      <c r="A3" s="55"/>
      <c r="B3" s="420"/>
      <c r="C3" s="420"/>
      <c r="D3" s="420"/>
      <c r="E3" s="420"/>
      <c r="F3" s="420"/>
      <c r="G3" s="420"/>
      <c r="H3" s="431"/>
      <c r="I3" s="431"/>
      <c r="J3" s="431"/>
      <c r="K3" s="420"/>
      <c r="L3" s="77"/>
      <c r="M3" s="77"/>
      <c r="N3" s="77"/>
      <c r="O3" s="77"/>
      <c r="P3" s="421"/>
      <c r="Q3" s="478"/>
      <c r="R3" s="151"/>
      <c r="S3" s="152"/>
      <c r="T3" s="10"/>
      <c r="X3" s="179" t="s">
        <v>84</v>
      </c>
      <c r="Y3" s="184"/>
      <c r="Z3" s="183"/>
      <c r="AA3" s="190" t="s">
        <v>62</v>
      </c>
      <c r="AB3" s="192">
        <v>0.29610503437779401</v>
      </c>
      <c r="AC3" s="190" t="s">
        <v>63</v>
      </c>
      <c r="AD3" s="192">
        <v>4.0185657738752996</v>
      </c>
      <c r="AE3" s="190" t="s">
        <v>64</v>
      </c>
      <c r="AF3" s="192">
        <v>0.14503768078946899</v>
      </c>
      <c r="AG3" s="55"/>
      <c r="AH3" s="439" t="s">
        <v>209</v>
      </c>
      <c r="AI3" s="439"/>
      <c r="AJ3" s="440"/>
      <c r="AK3" s="439"/>
      <c r="AL3" s="441"/>
      <c r="AM3" s="442" t="s">
        <v>210</v>
      </c>
      <c r="AN3" s="455">
        <v>5.9800000000000001E-4</v>
      </c>
      <c r="AO3" s="463" t="s">
        <v>70</v>
      </c>
      <c r="AP3" s="456">
        <v>32.17</v>
      </c>
      <c r="AQ3" s="442" t="s">
        <v>211</v>
      </c>
      <c r="AR3" s="457">
        <v>1.2999999999999999E-2</v>
      </c>
    </row>
    <row r="4" spans="1:44" ht="19.05" customHeight="1" thickBot="1">
      <c r="A4" s="55"/>
      <c r="B4" s="111" t="s">
        <v>133</v>
      </c>
      <c r="C4" s="11"/>
      <c r="D4" s="112">
        <f>'Input-Output'!Z11</f>
        <v>500</v>
      </c>
      <c r="E4" s="16" t="s">
        <v>33</v>
      </c>
      <c r="F4" s="113">
        <f>'Input-Output'!X15</f>
        <v>1309</v>
      </c>
      <c r="G4" s="16" t="s">
        <v>65</v>
      </c>
      <c r="H4" s="432">
        <f>'Input-Output'!Y15</f>
        <v>654.5</v>
      </c>
      <c r="I4" s="433"/>
      <c r="J4" s="434" t="s">
        <v>134</v>
      </c>
      <c r="K4" s="1815">
        <f>'Input-Output'!AA15</f>
        <v>2782800</v>
      </c>
      <c r="L4" s="1816"/>
      <c r="M4" s="55" t="s">
        <v>135</v>
      </c>
      <c r="N4" s="55"/>
      <c r="O4" s="1813">
        <f>'Input-Output'!AC15</f>
        <v>584440</v>
      </c>
      <c r="P4" s="1814"/>
      <c r="Q4" s="429" t="s">
        <v>137</v>
      </c>
      <c r="R4" s="113">
        <f>'Input-Output'!AE15</f>
        <v>1633.42</v>
      </c>
      <c r="S4" s="24" t="s">
        <v>136</v>
      </c>
      <c r="T4" s="77"/>
      <c r="U4" s="114">
        <f>'Input-Output'!AG7 - 'Input-Output'!AG6</f>
        <v>5</v>
      </c>
      <c r="X4" s="185" t="s">
        <v>85</v>
      </c>
      <c r="Y4" s="188"/>
      <c r="Z4" s="189"/>
      <c r="AA4" s="191" t="s">
        <v>62</v>
      </c>
      <c r="AB4" s="187">
        <v>7.3684257279742205E-2</v>
      </c>
      <c r="AC4" s="191" t="s">
        <v>18</v>
      </c>
      <c r="AD4" s="187">
        <v>0.24884500000000001</v>
      </c>
      <c r="AE4" s="191" t="s">
        <v>64</v>
      </c>
      <c r="AF4" s="187">
        <v>3.6091901676055402E-2</v>
      </c>
      <c r="AG4" s="55"/>
      <c r="AH4" s="439" t="s">
        <v>212</v>
      </c>
      <c r="AI4" s="439"/>
      <c r="AJ4" s="439"/>
      <c r="AK4" s="441"/>
      <c r="AM4" s="444" t="s">
        <v>69</v>
      </c>
      <c r="AN4" s="456">
        <v>0.4</v>
      </c>
      <c r="AO4" s="464" t="s">
        <v>224</v>
      </c>
      <c r="AP4" s="458">
        <v>0.65</v>
      </c>
      <c r="AQ4" s="443" t="s">
        <v>213</v>
      </c>
      <c r="AR4" s="456">
        <v>6.5000000000000002E-2</v>
      </c>
    </row>
    <row r="5" spans="1:44" ht="19.05" customHeight="1">
      <c r="B5" s="85"/>
      <c r="C5" s="86"/>
      <c r="D5" s="87"/>
      <c r="E5" s="88" t="s">
        <v>66</v>
      </c>
      <c r="F5" s="89"/>
      <c r="G5" s="90" t="s">
        <v>57</v>
      </c>
      <c r="H5" s="91"/>
      <c r="I5" s="91"/>
      <c r="J5" s="91"/>
      <c r="K5" s="91" t="s">
        <v>60</v>
      </c>
      <c r="L5" s="93" t="s">
        <v>20</v>
      </c>
      <c r="M5" s="93" t="s">
        <v>21</v>
      </c>
      <c r="N5" s="93" t="s">
        <v>36</v>
      </c>
      <c r="O5" s="92" t="s">
        <v>40</v>
      </c>
      <c r="P5" s="92" t="s">
        <v>37</v>
      </c>
      <c r="Q5" s="91" t="s">
        <v>38</v>
      </c>
      <c r="R5" s="483" t="s">
        <v>39</v>
      </c>
      <c r="S5" s="94" t="s">
        <v>41</v>
      </c>
      <c r="T5" s="92" t="s">
        <v>42</v>
      </c>
      <c r="U5" s="95" t="s">
        <v>43</v>
      </c>
      <c r="X5" s="162" t="s">
        <v>130</v>
      </c>
      <c r="Y5" s="163"/>
      <c r="Z5" s="164" t="s">
        <v>142</v>
      </c>
      <c r="AA5" s="137"/>
      <c r="AB5" s="137"/>
      <c r="AC5" s="137"/>
      <c r="AD5" s="137"/>
      <c r="AE5" s="137"/>
      <c r="AF5" s="138"/>
      <c r="AG5" s="55"/>
      <c r="AH5" s="437" t="s">
        <v>205</v>
      </c>
      <c r="AI5" s="439"/>
      <c r="AJ5" s="439"/>
      <c r="AK5" s="182" t="s">
        <v>223</v>
      </c>
      <c r="AL5" s="441"/>
      <c r="AM5" s="113">
        <f>'Input-Output'!$AG$10</f>
        <v>7981</v>
      </c>
      <c r="AN5" s="438" t="s">
        <v>208</v>
      </c>
      <c r="AO5" s="438" t="s">
        <v>218</v>
      </c>
      <c r="AP5" s="460" t="s">
        <v>220</v>
      </c>
      <c r="AQ5" s="446"/>
      <c r="AR5" s="461" t="s">
        <v>219</v>
      </c>
    </row>
    <row r="6" spans="1:44" ht="19.05" customHeight="1">
      <c r="B6" s="96"/>
      <c r="C6" s="36"/>
      <c r="D6" s="80"/>
      <c r="E6" s="82" t="s">
        <v>14</v>
      </c>
      <c r="F6" s="83" t="s">
        <v>15</v>
      </c>
      <c r="G6" s="70" t="s">
        <v>18</v>
      </c>
      <c r="H6" s="70" t="s">
        <v>17</v>
      </c>
      <c r="I6" s="70" t="s">
        <v>19</v>
      </c>
      <c r="J6" s="70" t="s">
        <v>16</v>
      </c>
      <c r="K6" s="70" t="s">
        <v>61</v>
      </c>
      <c r="L6" s="71" t="s">
        <v>44</v>
      </c>
      <c r="M6" s="71" t="s">
        <v>44</v>
      </c>
      <c r="N6" s="71" t="s">
        <v>44</v>
      </c>
      <c r="O6" s="69" t="s">
        <v>47</v>
      </c>
      <c r="P6" s="69" t="s">
        <v>45</v>
      </c>
      <c r="Q6" s="70" t="s">
        <v>46</v>
      </c>
      <c r="R6" s="484" t="s">
        <v>22</v>
      </c>
      <c r="S6" s="84" t="s">
        <v>48</v>
      </c>
      <c r="T6" s="69" t="s">
        <v>49</v>
      </c>
      <c r="U6" s="97" t="s">
        <v>49</v>
      </c>
      <c r="X6" s="165" t="s">
        <v>102</v>
      </c>
      <c r="Y6" s="72"/>
      <c r="Z6" s="73" t="s">
        <v>50</v>
      </c>
      <c r="AA6" s="73" t="s">
        <v>51</v>
      </c>
      <c r="AB6" s="73" t="s">
        <v>52</v>
      </c>
      <c r="AC6" s="73" t="s">
        <v>53</v>
      </c>
      <c r="AD6" s="73" t="s">
        <v>54</v>
      </c>
      <c r="AE6" s="73" t="s">
        <v>55</v>
      </c>
      <c r="AF6" s="74" t="s">
        <v>56</v>
      </c>
      <c r="AG6" s="55"/>
      <c r="AH6" s="437" t="s">
        <v>214</v>
      </c>
      <c r="AI6" s="447" t="s">
        <v>206</v>
      </c>
      <c r="AJ6" s="441"/>
      <c r="AK6" s="448"/>
      <c r="AL6" s="448"/>
      <c r="AM6" s="452" t="s">
        <v>221</v>
      </c>
      <c r="AN6" s="449"/>
      <c r="AO6" s="453" t="s">
        <v>202</v>
      </c>
      <c r="AP6" s="454"/>
      <c r="AQ6" s="462">
        <v>0.24</v>
      </c>
      <c r="AR6" s="445"/>
    </row>
    <row r="7" spans="1:44" ht="19.05" customHeight="1">
      <c r="B7" s="98" t="s">
        <v>132</v>
      </c>
      <c r="C7" s="35"/>
      <c r="D7" s="35"/>
      <c r="E7" s="46">
        <v>0</v>
      </c>
      <c r="F7" s="46">
        <v>0</v>
      </c>
      <c r="G7" s="47">
        <f xml:space="preserve"> ( 101325*(1-2.25577*(10^(-5))*F7)^5.2555 ) /1000</f>
        <v>101.325</v>
      </c>
      <c r="H7" s="47">
        <f>G7*0.2953</f>
        <v>29.921272500000001</v>
      </c>
      <c r="I7" s="47">
        <f>J7*27.7070465550844</f>
        <v>406.03447543319317</v>
      </c>
      <c r="J7" s="47">
        <f>H7/2.041772658</f>
        <v>14.654556364423604</v>
      </c>
      <c r="K7" s="47">
        <f>('Input-Output'!AF6+'Input-Output'!AF7)/2</f>
        <v>7.5</v>
      </c>
      <c r="L7" s="48">
        <f>'Input-Output'!AF11</f>
        <v>75</v>
      </c>
      <c r="M7" s="48">
        <f>'Input-Output'!AF12</f>
        <v>62</v>
      </c>
      <c r="N7" s="49">
        <f>100.45+33.193*AE7+2.319*AE7^2+0.17074*AE7^3+1.2063*(AD7*0.4897705)^3</f>
        <v>53.291933873220287</v>
      </c>
      <c r="O7" s="50">
        <f>((1093-0.556*M7)*AA7 - 0.24*(L7-M7))/(1093 + 0.444*L7-M7)</f>
        <v>8.9200822277354305E-3</v>
      </c>
      <c r="P7" s="51">
        <f>((O7/AF7)/(1-(1-(O7/AF7))*(AB7/J7)))*100</f>
        <v>48.128472062697938</v>
      </c>
      <c r="Q7" s="79">
        <f>0.7543*(T7*(1+1.6078*O7))/H7</f>
        <v>13.672833203605759</v>
      </c>
      <c r="R7" s="81">
        <f xml:space="preserve"> 1/Q7</f>
        <v>7.3137731230150826E-2</v>
      </c>
      <c r="S7" s="67">
        <f>0.24*L7+O7*(1061+0.444*L7)</f>
        <v>27.76124598181088</v>
      </c>
      <c r="T7" s="54">
        <f>L7+459.7</f>
        <v>534.70000000000005</v>
      </c>
      <c r="U7" s="99">
        <f>M7+459.7</f>
        <v>521.70000000000005</v>
      </c>
      <c r="X7" s="139" t="s">
        <v>128</v>
      </c>
      <c r="Y7" s="34" t="s">
        <v>126</v>
      </c>
      <c r="Z7" s="41">
        <f xml:space="preserve"> EXP((-10440.397/U7)+(-11.29465) + (-0.027022355*U7) + (0.00001289036*U7*U7) + (-0.0000000024780681*U7^3)+(6.5459673*LN(U7)))</f>
        <v>0.27548167941417362</v>
      </c>
      <c r="AA7" s="39">
        <f>0.62198*Z7/(J7-Z7)</f>
        <v>1.1916211488953355E-2</v>
      </c>
      <c r="AB7" s="41">
        <f xml:space="preserve"> EXP((-10440.397/T7)+(-11.29465) + (-0.027022355*T7) + (0.00001289036*T7*T7) + (-0.0000000024780681*T7^3)+(6.5459673*LN(T7)))</f>
        <v>0.43050566941181179</v>
      </c>
      <c r="AC7" s="39">
        <f>AB7*2.041772658</f>
        <v>0.87899470491902432</v>
      </c>
      <c r="AD7" s="39">
        <f>(H7*O7)/(0.62198+O7)</f>
        <v>0.42304672098954677</v>
      </c>
      <c r="AE7" s="39">
        <f>LN(AD7*0.4897705)</f>
        <v>-1.574091019465897</v>
      </c>
      <c r="AF7" s="140">
        <f>0.62198*(AB7/(J7-AB7))</f>
        <v>1.8824870777117031E-2</v>
      </c>
      <c r="AH7" s="437" t="s">
        <v>215</v>
      </c>
      <c r="AI7" s="447" t="s">
        <v>207</v>
      </c>
      <c r="AJ7" s="441"/>
      <c r="AK7" s="441"/>
      <c r="AL7" s="427" t="s">
        <v>203</v>
      </c>
      <c r="AN7" s="441"/>
      <c r="AO7" s="441"/>
      <c r="AP7" s="426" t="s">
        <v>198</v>
      </c>
      <c r="AR7" s="450"/>
    </row>
    <row r="8" spans="1:44" ht="19.05" customHeight="1" thickBot="1">
      <c r="B8" s="100" t="s">
        <v>131</v>
      </c>
      <c r="C8" s="101"/>
      <c r="D8" s="101"/>
      <c r="E8" s="102">
        <f>E65</f>
        <v>500</v>
      </c>
      <c r="F8" s="102">
        <f>F65</f>
        <v>152.4</v>
      </c>
      <c r="G8" s="103">
        <f xml:space="preserve"> ( 101325*(1-2.25577*(10^(-5))*F8)^5.2555 ) /1000</f>
        <v>99.507669506043712</v>
      </c>
      <c r="H8" s="103">
        <f>G8*0.2953</f>
        <v>29.38461480513471</v>
      </c>
      <c r="I8" s="103">
        <f>J8*27.7070465550844</f>
        <v>398.75198015757229</v>
      </c>
      <c r="J8" s="103">
        <f>H8/2.041772658</f>
        <v>14.391717260979556</v>
      </c>
      <c r="K8" s="104">
        <f>K65</f>
        <v>15</v>
      </c>
      <c r="L8" s="104">
        <f>'Input-Output'!$AG$11</f>
        <v>72</v>
      </c>
      <c r="M8" s="104">
        <f>'Input-Output'!$AG$12</f>
        <v>55</v>
      </c>
      <c r="N8" s="104">
        <f t="shared" ref="N8:U8" si="0">N65</f>
        <v>-19.672745252794211</v>
      </c>
      <c r="O8" s="105">
        <f t="shared" si="0"/>
        <v>4.3572797183036684E-4</v>
      </c>
      <c r="P8" s="102">
        <f t="shared" si="0"/>
        <v>100.00000000000003</v>
      </c>
      <c r="Q8" s="106">
        <f t="shared" si="0"/>
        <v>11.366724510272752</v>
      </c>
      <c r="R8" s="107">
        <f t="shared" si="0"/>
        <v>8.7976091889641866E-2</v>
      </c>
      <c r="S8" s="108">
        <f t="shared" si="0"/>
        <v>-3.3807880333998637</v>
      </c>
      <c r="T8" s="109">
        <f t="shared" si="0"/>
        <v>443.7</v>
      </c>
      <c r="U8" s="110">
        <f t="shared" si="0"/>
        <v>443.7</v>
      </c>
      <c r="X8" s="141" t="s">
        <v>129</v>
      </c>
      <c r="Y8" s="128" t="s">
        <v>127</v>
      </c>
      <c r="Z8" s="125">
        <f xml:space="preserve"> IF(E8="XX", "XX", EXP((-10440.397/U8)+(-11.29465) + (-0.027022355*U8) + (0.00001289036*U8*U8) + (-0.0000000024780681*U8^3)+(6.5459673*LN(U8))) )</f>
        <v>1.0103510192074169E-2</v>
      </c>
      <c r="AA8" s="142">
        <f>IF(E8="XX", "XX", 0.62198*Z8/(J8-Z8))</f>
        <v>4.3695939677994717E-4</v>
      </c>
      <c r="AB8" s="143">
        <f xml:space="preserve"> IF(E8="XX", "XX", EXP((-10440.397/T8)+(-11.29465) + (-0.027022355*T8) + (0.00001289036*T8*T8) + (-0.0000000024780681*T8^3)+(6.5459673*LN(T8))) )</f>
        <v>1.0103510192074169E-2</v>
      </c>
      <c r="AC8" s="142">
        <f>IF(E8="XX", "XX", AB8*2.041772658 )</f>
        <v>2.0629070860001368E-2</v>
      </c>
      <c r="AD8" s="142">
        <f>IF(E8="XX", "XX", (H8*O8)/(0.62198+O8))</f>
        <v>2.0570975373291653E-2</v>
      </c>
      <c r="AE8" s="142">
        <f>IF(E8="XX", "XX", LN(AD8*0.4897705))</f>
        <v>-4.5976925241117623</v>
      </c>
      <c r="AF8" s="144">
        <f>IF(E8="XX", "XX", 0.62198*(AB8/(J8-AB8)))</f>
        <v>4.3695939677994717E-4</v>
      </c>
      <c r="AH8" s="451" t="s">
        <v>143</v>
      </c>
      <c r="AI8" s="447" t="s">
        <v>216</v>
      </c>
      <c r="AJ8" s="441"/>
      <c r="AK8" s="441"/>
      <c r="AL8" s="459" t="s">
        <v>217</v>
      </c>
      <c r="AM8" s="452" t="s">
        <v>201</v>
      </c>
      <c r="AN8" s="441"/>
      <c r="AO8" s="441"/>
      <c r="AP8" s="441"/>
      <c r="AQ8" s="445"/>
      <c r="AR8" s="445"/>
    </row>
    <row r="9" spans="1:44" ht="19.05" customHeight="1">
      <c r="B9" s="13"/>
      <c r="C9" s="11"/>
      <c r="D9" s="11"/>
      <c r="E9" s="12"/>
      <c r="F9" s="12"/>
      <c r="G9" s="14"/>
      <c r="H9" s="14"/>
      <c r="I9" s="14"/>
      <c r="J9" s="14"/>
      <c r="K9" s="14"/>
      <c r="L9" s="9"/>
      <c r="M9" s="9"/>
      <c r="N9" s="18"/>
      <c r="O9" s="19"/>
      <c r="P9" s="20"/>
      <c r="Q9" s="436"/>
      <c r="R9" s="482"/>
      <c r="S9" s="56"/>
      <c r="T9" s="22"/>
      <c r="U9" s="22"/>
      <c r="Z9" s="19"/>
      <c r="AA9" s="15"/>
      <c r="AB9" s="19"/>
      <c r="AC9" s="15"/>
      <c r="AD9" s="15"/>
      <c r="AE9" s="15"/>
      <c r="AF9" s="19"/>
      <c r="AG9" s="55"/>
      <c r="AH9" s="439"/>
      <c r="AI9" s="439"/>
      <c r="AJ9" s="439"/>
      <c r="AK9" s="439"/>
      <c r="AL9" s="439"/>
      <c r="AM9" s="439"/>
      <c r="AN9" s="439"/>
      <c r="AO9" s="439"/>
    </row>
    <row r="10" spans="1:44" ht="19.05" customHeight="1" thickBot="1">
      <c r="B10" s="66">
        <f>'Input-Output'!AK5</f>
        <v>8</v>
      </c>
      <c r="E10" s="13" t="s">
        <v>121</v>
      </c>
      <c r="F10" s="23"/>
      <c r="G10" s="115">
        <f>'Input-Output'!AG22</f>
        <v>2</v>
      </c>
      <c r="H10" s="435" t="s">
        <v>122</v>
      </c>
      <c r="I10" s="436"/>
      <c r="J10" s="436"/>
      <c r="K10" s="116">
        <f>'Input-Output'!AG32</f>
        <v>8400</v>
      </c>
      <c r="X10" s="75">
        <f>B10</f>
        <v>8</v>
      </c>
      <c r="Z10" s="61" t="s">
        <v>125</v>
      </c>
      <c r="AA10" s="56"/>
      <c r="AB10" s="117">
        <f>'Input-Output'!AG24</f>
        <v>0.3</v>
      </c>
      <c r="AC10" s="62" t="s">
        <v>123</v>
      </c>
      <c r="AD10" s="19"/>
      <c r="AE10" s="117">
        <f>'Input-Output'!AG25</f>
        <v>0.6</v>
      </c>
      <c r="AH10" s="68" t="s">
        <v>124</v>
      </c>
      <c r="AI10" s="15"/>
      <c r="AJ10" s="181"/>
      <c r="AK10" s="118">
        <f>'Input-Output'!AG26</f>
        <v>5.0000000000000001E-3</v>
      </c>
      <c r="AL10" s="180" t="s">
        <v>141</v>
      </c>
      <c r="AM10" s="151"/>
      <c r="AN10" s="155">
        <f>'Input-Output'!AG33</f>
        <v>25.2</v>
      </c>
      <c r="AO10" s="180" t="s">
        <v>228</v>
      </c>
      <c r="AP10" s="152"/>
      <c r="AR10" s="155">
        <f>SUM(AR13:AR14)</f>
        <v>-24743.594176828192</v>
      </c>
    </row>
    <row r="11" spans="1:44" ht="19.05" customHeight="1">
      <c r="B11" s="162" t="s">
        <v>58</v>
      </c>
      <c r="C11" s="168" t="s">
        <v>118</v>
      </c>
      <c r="D11" s="163" t="s">
        <v>117</v>
      </c>
      <c r="E11" s="169" t="s">
        <v>66</v>
      </c>
      <c r="F11" s="163"/>
      <c r="G11" s="170" t="s">
        <v>57</v>
      </c>
      <c r="H11" s="171"/>
      <c r="I11" s="171"/>
      <c r="J11" s="171"/>
      <c r="K11" s="171" t="s">
        <v>60</v>
      </c>
      <c r="L11" s="172" t="s">
        <v>20</v>
      </c>
      <c r="M11" s="172" t="s">
        <v>21</v>
      </c>
      <c r="N11" s="172" t="s">
        <v>36</v>
      </c>
      <c r="O11" s="145" t="s">
        <v>40</v>
      </c>
      <c r="P11" s="145" t="s">
        <v>37</v>
      </c>
      <c r="Q11" s="171" t="s">
        <v>38</v>
      </c>
      <c r="R11" s="485" t="s">
        <v>39</v>
      </c>
      <c r="S11" s="145" t="s">
        <v>41</v>
      </c>
      <c r="T11" s="145" t="s">
        <v>42</v>
      </c>
      <c r="U11" s="146" t="s">
        <v>43</v>
      </c>
      <c r="X11" s="166" t="str">
        <f>B11</f>
        <v>Level</v>
      </c>
      <c r="Y11" s="163" t="str">
        <f>D11</f>
        <v>Bldg</v>
      </c>
      <c r="Z11" s="164" t="s">
        <v>142</v>
      </c>
      <c r="AA11" s="145"/>
      <c r="AB11" s="145"/>
      <c r="AC11" s="145"/>
      <c r="AD11" s="145"/>
      <c r="AE11" s="145"/>
      <c r="AF11" s="146"/>
      <c r="AH11" s="465" t="s">
        <v>76</v>
      </c>
      <c r="AI11" s="466" t="s">
        <v>68</v>
      </c>
      <c r="AJ11" s="466" t="s">
        <v>71</v>
      </c>
      <c r="AK11" s="466" t="s">
        <v>72</v>
      </c>
      <c r="AL11" s="466" t="s">
        <v>73</v>
      </c>
      <c r="AM11" s="467" t="s">
        <v>74</v>
      </c>
      <c r="AN11" s="468" t="s">
        <v>77</v>
      </c>
      <c r="AO11" s="467" t="s">
        <v>79</v>
      </c>
      <c r="AP11" s="469" t="s">
        <v>80</v>
      </c>
      <c r="AQ11" s="467" t="s">
        <v>225</v>
      </c>
      <c r="AR11" s="470" t="s">
        <v>226</v>
      </c>
    </row>
    <row r="12" spans="1:44" ht="19.05" customHeight="1">
      <c r="B12" s="173" t="s">
        <v>31</v>
      </c>
      <c r="C12" s="174" t="s">
        <v>59</v>
      </c>
      <c r="D12" s="174" t="s">
        <v>59</v>
      </c>
      <c r="E12" s="175" t="s">
        <v>14</v>
      </c>
      <c r="F12" s="175" t="s">
        <v>15</v>
      </c>
      <c r="G12" s="176" t="s">
        <v>18</v>
      </c>
      <c r="H12" s="176" t="s">
        <v>17</v>
      </c>
      <c r="I12" s="176" t="s">
        <v>19</v>
      </c>
      <c r="J12" s="176" t="s">
        <v>16</v>
      </c>
      <c r="K12" s="176" t="s">
        <v>61</v>
      </c>
      <c r="L12" s="177" t="s">
        <v>44</v>
      </c>
      <c r="M12" s="177" t="s">
        <v>44</v>
      </c>
      <c r="N12" s="177" t="s">
        <v>44</v>
      </c>
      <c r="O12" s="174" t="s">
        <v>47</v>
      </c>
      <c r="P12" s="174" t="s">
        <v>45</v>
      </c>
      <c r="Q12" s="176" t="s">
        <v>46</v>
      </c>
      <c r="R12" s="486" t="s">
        <v>22</v>
      </c>
      <c r="S12" s="174" t="s">
        <v>48</v>
      </c>
      <c r="T12" s="174" t="s">
        <v>49</v>
      </c>
      <c r="U12" s="178" t="s">
        <v>49</v>
      </c>
      <c r="X12" s="167" t="str">
        <f>B12</f>
        <v>ID No.</v>
      </c>
      <c r="Y12" s="72" t="str">
        <f>D12</f>
        <v>Flr No.</v>
      </c>
      <c r="Z12" s="73" t="s">
        <v>50</v>
      </c>
      <c r="AA12" s="73" t="s">
        <v>51</v>
      </c>
      <c r="AB12" s="73" t="s">
        <v>52</v>
      </c>
      <c r="AC12" s="73" t="s">
        <v>53</v>
      </c>
      <c r="AD12" s="73" t="s">
        <v>54</v>
      </c>
      <c r="AE12" s="73" t="s">
        <v>55</v>
      </c>
      <c r="AF12" s="74" t="s">
        <v>56</v>
      </c>
      <c r="AH12" s="471" t="s">
        <v>140</v>
      </c>
      <c r="AI12" s="159" t="s">
        <v>19</v>
      </c>
      <c r="AJ12" s="159" t="s">
        <v>19</v>
      </c>
      <c r="AK12" s="160" t="s">
        <v>86</v>
      </c>
      <c r="AL12" s="161" t="s">
        <v>87</v>
      </c>
      <c r="AM12" s="158" t="s">
        <v>75</v>
      </c>
      <c r="AN12" s="157" t="s">
        <v>78</v>
      </c>
      <c r="AO12" s="158" t="s">
        <v>75</v>
      </c>
      <c r="AP12" s="160" t="s">
        <v>81</v>
      </c>
      <c r="AQ12" s="158" t="s">
        <v>204</v>
      </c>
      <c r="AR12" s="472" t="s">
        <v>227</v>
      </c>
    </row>
    <row r="13" spans="1:44" ht="19.05" customHeight="1">
      <c r="B13" s="119">
        <f>'Input-Output'!AI6</f>
        <v>24</v>
      </c>
      <c r="C13" s="60">
        <f>'Input-Output'!AJ6</f>
        <v>2</v>
      </c>
      <c r="D13" s="603">
        <f>'Input-Output'!AK6</f>
        <v>101</v>
      </c>
      <c r="E13" s="65">
        <f>'Input-Output'!AL6</f>
        <v>1789</v>
      </c>
      <c r="F13" s="65">
        <f>'Input-Output'!AM6</f>
        <v>545.28719999999998</v>
      </c>
      <c r="G13" s="47">
        <f t="shared" ref="G13:G14" si="1">IF(E13="XX","XX",((101325*(1-2.25577*(10^(-5))*F13)^5.2555)/1000))</f>
        <v>94.944016522576575</v>
      </c>
      <c r="H13" s="47">
        <f xml:space="preserve"> IF(E13="XX", "XX", G13*$AB$3)</f>
        <v>28.113401276383378</v>
      </c>
      <c r="I13" s="47">
        <f>IF(E13="XX", "XX", G13*$AD$3)</f>
        <v>381.53877523187714</v>
      </c>
      <c r="J13" s="47">
        <f xml:space="preserve"> IF(E13="XX", "XX",G13*$AF$3)</f>
        <v>13.770459961271531</v>
      </c>
      <c r="K13" s="47">
        <f xml:space="preserve"> IF(E13="XX", "XX", ( $K$65 + $U$4 * (E13-$D$4)/$F$4 ) )</f>
        <v>19.923605805958747</v>
      </c>
      <c r="L13" s="48">
        <f xml:space="preserve"> IF(E13="XX", "XX", $L$65 - 0.00356*(E13-$E$65))</f>
        <v>-20.588839999999998</v>
      </c>
      <c r="M13" s="48">
        <f>IF(E13="XX","XX ", $M$65-0.00356*(E13-$E$65))</f>
        <v>-20.588839999999998</v>
      </c>
      <c r="N13" s="49">
        <f>IF(E13="XX","XX",100.45+33.193*AE13+2.319*AE13^2+0.17074*AE13^3+1.2063*(AD13*0.4897705)^3)</f>
        <v>-25.022416791870928</v>
      </c>
      <c r="O13" s="50">
        <f>IF(E13="XX","XX ",((1093-0.556*M13)*AA13-0.24*(L13-M13))/(1093+0.444*L13-M13))</f>
        <v>3.6079950553245663E-4</v>
      </c>
      <c r="P13" s="51">
        <f xml:space="preserve"> IF(E13="XX", "XX", ((O13/AF13)/(1-(1-(O13/AF13))*(AB13/J13)))*100)</f>
        <v>100</v>
      </c>
      <c r="Q13" s="79">
        <f xml:space="preserve"> IF(E13="XX", "XX", 0.7543*(T13*(1+1.6078*O13))/H13)</f>
        <v>11.788459325098898</v>
      </c>
      <c r="R13" s="81">
        <f xml:space="preserve"> IF(E13="XX", "XX", 1/Q13)</f>
        <v>8.4828727183279357E-2</v>
      </c>
      <c r="S13" s="67">
        <f>IF(E13="XX", "XX", 0.24*L13+O13*(1061+0.444*L13))</f>
        <v>-4.5618115534514834</v>
      </c>
      <c r="T13" s="54">
        <f>IF(E13="XX", "XX", L13+459.7)</f>
        <v>439.11115999999998</v>
      </c>
      <c r="U13" s="99">
        <f>IF(E13="XX", "XX", M13+459.7)</f>
        <v>439.11115999999998</v>
      </c>
      <c r="X13" s="147">
        <f>B13</f>
        <v>24</v>
      </c>
      <c r="Y13" s="34">
        <f>D13</f>
        <v>101</v>
      </c>
      <c r="Z13" s="41">
        <f xml:space="preserve"> IF(E13="XX", "XX", EXP((-10440.397/U13)+(-11.29465) + (-0.027022355*U13) + (0.00001289036*U13*U13) + (-0.0000000024780681*U13^3)+(6.5459673*LN(U13))) )</f>
        <v>7.9833672305090336E-3</v>
      </c>
      <c r="AA13" s="39">
        <f>IF(E13="XX", "XX", 0.62198*Z13/(J13-Z13))</f>
        <v>3.6079950553245663E-4</v>
      </c>
      <c r="AB13" s="41">
        <f xml:space="preserve"> IF(E13="XX", "XX", EXP((-10440.397/T13)+(-11.29465) + (-0.027022355*T13) + (0.00001289036*T13*T13) + (-0.0000000024780681*T13^3)+(6.5459673*LN(T13))) )</f>
        <v>7.9833672305090336E-3</v>
      </c>
      <c r="AC13" s="39">
        <f>IF(E13="XX", "XX", AB13*2.041772658 )</f>
        <v>1.6300220930026529E-2</v>
      </c>
      <c r="AD13" s="39">
        <f>IF(E13="XX", "XX", (H13*O13)/(0.62198+O13))</f>
        <v>1.6298628159063008E-2</v>
      </c>
      <c r="AE13" s="39">
        <f>IF(E13="XX", "XX", LN(AD13*0.4897705))</f>
        <v>-4.830492701674566</v>
      </c>
      <c r="AF13" s="140">
        <f>IF(E13="XX", "XX", 0.62198*(AB13/(J13-AB13)))</f>
        <v>3.6079950553245663E-4</v>
      </c>
      <c r="AH13" s="473">
        <f xml:space="preserve"> IF(D13="XX", "XX", E13- $D$4)</f>
        <v>1289</v>
      </c>
      <c r="AI13" s="154">
        <f xml:space="preserve"> IF(D13="XX", "XX", $AN$3 * R13 * (T13-$T$7)/$T$7 * $AP$3 * ($H$4-AH13))</f>
        <v>0.18510742063802904</v>
      </c>
      <c r="AJ13" s="154">
        <f xml:space="preserve"> IF(D13="XX", "XX", $AR$3 * $AN$4^2 * $AR$4 * R13 * K13^2/2)</f>
        <v>2.276279187790661E-3</v>
      </c>
      <c r="AK13" s="154">
        <f xml:space="preserve"> IF(D13="XX", "XX", AI13 +AJ13)</f>
        <v>0.18738369982581971</v>
      </c>
      <c r="AL13" s="154">
        <f xml:space="preserve"> IF(D13="XX", "XX", AK13 +$AK$10)</f>
        <v>0.19238369982581971</v>
      </c>
      <c r="AM13" s="26">
        <f xml:space="preserve"> IF(D13="XX", "XX", 60 * ($AP$4 * $AN$10 * (2 * ABS(AL13)/R13)^0.5))</f>
        <v>2093.1136341272668</v>
      </c>
      <c r="AN13" s="27" t="str">
        <f>IF(D13="XX", "XX", IF(AL13&lt;0, "Exfl", "Infl"))</f>
        <v>Infl</v>
      </c>
      <c r="AO13" s="26">
        <f xml:space="preserve"> IF(AN13="Infl", -AM13, AM13)</f>
        <v>-2093.1136341272668</v>
      </c>
      <c r="AP13" s="474">
        <f>IF(D13="XX", "XX", AO13/$K$10)</f>
        <v>-0.24918019453896034</v>
      </c>
      <c r="AQ13" s="26">
        <f>IF(D13="XX", "XX", AO13*1.08*(L13-$L$8))</f>
        <v>209302.8804417903</v>
      </c>
      <c r="AR13" s="392">
        <f xml:space="preserve"> IF(D13="XX", "XX", AO13 * 1.08 * $AM$5/1000)</f>
        <v>-18041.551107087296</v>
      </c>
    </row>
    <row r="14" spans="1:44" ht="19.05" customHeight="1" thickBot="1">
      <c r="B14" s="120">
        <f>'Input-Output'!AI7</f>
        <v>23</v>
      </c>
      <c r="C14" s="121">
        <f>'Input-Output'!AJ7</f>
        <v>1</v>
      </c>
      <c r="D14" s="604">
        <f>'Input-Output'!AK7</f>
        <v>100</v>
      </c>
      <c r="E14" s="122">
        <f>'Input-Output'!AL7</f>
        <v>1774</v>
      </c>
      <c r="F14" s="122">
        <f>'Input-Output'!AM7</f>
        <v>540.71519999999998</v>
      </c>
      <c r="G14" s="103">
        <f t="shared" si="1"/>
        <v>94.996130509782816</v>
      </c>
      <c r="H14" s="103">
        <f xml:space="preserve"> IF(E14="XX", "XX", G14*$AB$3)</f>
        <v>28.128832490356647</v>
      </c>
      <c r="I14" s="103">
        <f>IF(E14="XX", "XX", G14*$AD$3)</f>
        <v>381.74819871720433</v>
      </c>
      <c r="J14" s="103">
        <f xml:space="preserve"> IF(E14="XX", "XX",G14*$AF$3)</f>
        <v>13.778018453112617</v>
      </c>
      <c r="K14" s="103">
        <f xml:space="preserve"> IF(E14="XX", "XX", ( $K$65 + $U$4 * (E14-$D$4)/$F$4 ) )</f>
        <v>19.866310160427808</v>
      </c>
      <c r="L14" s="123">
        <f xml:space="preserve"> IF(E14="XX", "XX", $L$65 - 0.00356*(E14-$E$65))</f>
        <v>-20.535440000000001</v>
      </c>
      <c r="M14" s="123">
        <f>IF(E14="XX","XX ", $M$65-0.00356*(E14-$E$65))</f>
        <v>-20.535440000000001</v>
      </c>
      <c r="N14" s="124">
        <f>IF(E14="XX","XX",100.45+33.193*AE14+2.319*AE14^2+0.17074*AE14^3+1.2063*(AD14*0.4897705)^3)</f>
        <v>-24.959378039422901</v>
      </c>
      <c r="O14" s="125">
        <f>IF(E14="XX","XX ",((1093-0.556*M14)*AA14-0.24*(L14-M14))/(1093+0.444*L14-M14))</f>
        <v>3.6160303916970806E-4</v>
      </c>
      <c r="P14" s="126">
        <f xml:space="preserve"> IF(E14="XX", "XX", ((O14/AF14)/(1-(1-(O14/AF14))*(AB14/J14)))*100)</f>
        <v>100</v>
      </c>
      <c r="Q14" s="479">
        <f xml:space="preserve"> IF(E14="XX", "XX", 0.7543*(T14*(1+1.6078*O14))/H14)</f>
        <v>11.783440301002269</v>
      </c>
      <c r="R14" s="487">
        <f xml:space="preserve"> IF(E14="XX", "XX", 1/Q14)</f>
        <v>8.4864859027201298E-2</v>
      </c>
      <c r="S14" s="129">
        <f>IF(E14="XX", "XX", 0.24*L14+O14*(1061+0.444*L14))</f>
        <v>-4.5481417762574612</v>
      </c>
      <c r="T14" s="130">
        <f>IF(E14="XX", "XX", L14+459.7)</f>
        <v>439.16455999999999</v>
      </c>
      <c r="U14" s="131">
        <f>IF(E14="XX", "XX", M14+459.7)</f>
        <v>439.16455999999999</v>
      </c>
      <c r="X14" s="148">
        <f>B14</f>
        <v>23</v>
      </c>
      <c r="Y14" s="128">
        <f>D14</f>
        <v>100</v>
      </c>
      <c r="Z14" s="125">
        <f xml:space="preserve"> IF(E14="XX", "XX", EXP((-10440.397/U14)+(-11.29465) + (-0.027022355*U14) + (0.00001289036*U14*U14) + (-0.0000000024780681*U14^3)+(6.5459673*LN(U14))) )</f>
        <v>8.0055283497868102E-3</v>
      </c>
      <c r="AA14" s="142">
        <f>IF(E14="XX", "XX", 0.62198*Z14/(J14-Z14))</f>
        <v>3.6160303916970806E-4</v>
      </c>
      <c r="AB14" s="125">
        <f xml:space="preserve"> IF(E14="XX", "XX", EXP((-10440.397/T14)+(-11.29465) + (-0.027022355*T14) + (0.00001289036*T14*T14) + (-0.0000000024780681*T14^3)+(6.5459673*LN(T14))) )</f>
        <v>8.0055283497868102E-3</v>
      </c>
      <c r="AC14" s="142">
        <f>IF(E14="XX", "XX", AB14*2.041772658 )</f>
        <v>1.634546889743857E-2</v>
      </c>
      <c r="AD14" s="142">
        <f>IF(E14="XX", "XX", (H14*O14)/(0.62198+O14))</f>
        <v>1.634387170508414E-2</v>
      </c>
      <c r="AE14" s="142">
        <f>IF(E14="XX", "XX", LN(AD14*0.4897705))</f>
        <v>-4.82772063610473</v>
      </c>
      <c r="AF14" s="149">
        <f>IF(E14="XX", "XX", 0.62198*(AB14/(J14-AB14)))</f>
        <v>3.6160303916970806E-4</v>
      </c>
      <c r="AH14" s="475">
        <f xml:space="preserve"> IF(D14="XX", "XX", E14- $D$4)</f>
        <v>1274</v>
      </c>
      <c r="AI14" s="1">
        <f xml:space="preserve"> IF(D14="XX", "XX", $AN$3 * R14 * (T14-$T$7)/$T$7 * $AP$3 * ($H$4-AH14))</f>
        <v>0.18070733193318878</v>
      </c>
      <c r="AJ14" s="1">
        <f xml:space="preserve"> IF(D14="XX", "XX", $AR$3 * $AN$4^2 * $AR$4 * R14 * K14^2/2)</f>
        <v>2.2641699032935345E-3</v>
      </c>
      <c r="AK14" s="1">
        <f xml:space="preserve"> IF(D14="XX", "XX", AI14 +AJ14)</f>
        <v>0.18297150183648231</v>
      </c>
      <c r="AL14" s="1">
        <f xml:space="preserve"> IF(D14="XX", "XX", AK14 +$AK$10)</f>
        <v>0.18797150183648231</v>
      </c>
      <c r="AM14" s="28">
        <f xml:space="preserve"> IF(D14="XX", "XX", 60 * ($AP$4 * $AN$10 * (2 * ABS(AL14)/R14)^0.5))</f>
        <v>2068.5318116484241</v>
      </c>
      <c r="AN14" s="29" t="str">
        <f>IF(D14="XX", "XX", IF(AL14&lt;0, "Exfl", "Infl"))</f>
        <v>Infl</v>
      </c>
      <c r="AO14" s="28">
        <f xml:space="preserve"> IF(AN14="Infl", -AM14, AM14)</f>
        <v>-2068.5318116484241</v>
      </c>
      <c r="AP14" s="476">
        <f>IF(D14="XX", "XX", AO14/$K$10)</f>
        <v>-0.24625378710100287</v>
      </c>
      <c r="AQ14" s="28">
        <f>IF(D14="XX", "XX", AO14*1.08*(L14-$L$8))</f>
        <v>206725.50145247477</v>
      </c>
      <c r="AR14" s="397">
        <f xml:space="preserve"> IF(D14="XX", "XX", AO14 * 1.08 * 3000/1000)</f>
        <v>-6702.0430697408947</v>
      </c>
    </row>
    <row r="15" spans="1:44" ht="19.05" customHeight="1">
      <c r="B15" s="13"/>
      <c r="C15" s="13"/>
      <c r="D15" s="13"/>
      <c r="E15" s="13"/>
      <c r="F15" s="23"/>
      <c r="G15" s="14"/>
      <c r="H15" s="14"/>
      <c r="I15" s="14"/>
      <c r="J15" s="14"/>
      <c r="K15" s="14"/>
      <c r="L15" s="9"/>
      <c r="M15" s="9"/>
      <c r="N15" s="18"/>
      <c r="O15" s="19"/>
      <c r="P15" s="20"/>
      <c r="Q15" s="436"/>
      <c r="R15" s="482"/>
      <c r="S15" s="56"/>
      <c r="T15" s="22"/>
      <c r="U15" s="22"/>
      <c r="Z15" s="19"/>
      <c r="AA15" s="15"/>
      <c r="AB15" s="19"/>
      <c r="AC15" s="15"/>
      <c r="AD15" s="15"/>
      <c r="AE15" s="15"/>
      <c r="AF15" s="19"/>
      <c r="AH15" s="58"/>
      <c r="AI15" s="151"/>
      <c r="AJ15" s="151"/>
      <c r="AK15" s="151"/>
      <c r="AL15" s="151"/>
      <c r="AM15" s="153"/>
      <c r="AN15" s="16"/>
      <c r="AO15" s="153"/>
      <c r="AP15" s="152"/>
      <c r="AQ15" s="153"/>
      <c r="AR15" s="153"/>
    </row>
    <row r="16" spans="1:44" ht="19.05" customHeight="1" thickBot="1">
      <c r="B16" s="66">
        <f>'Input-Output'!AK8</f>
        <v>7</v>
      </c>
      <c r="E16" s="13" t="s">
        <v>121</v>
      </c>
      <c r="F16" s="23"/>
      <c r="G16" s="115">
        <f>'Input-Output'!AF22</f>
        <v>15</v>
      </c>
      <c r="H16" s="435" t="s">
        <v>122</v>
      </c>
      <c r="I16" s="436"/>
      <c r="J16" s="436"/>
      <c r="K16" s="116">
        <f>'Input-Output'!AF32</f>
        <v>5600</v>
      </c>
      <c r="L16" s="61" t="s">
        <v>125</v>
      </c>
      <c r="M16" s="56"/>
      <c r="N16" s="117">
        <f>'Input-Output'!AF24</f>
        <v>0.4</v>
      </c>
      <c r="O16" s="62" t="s">
        <v>123</v>
      </c>
      <c r="P16" s="19"/>
      <c r="Q16" s="117">
        <f>'Input-Output'!AF25</f>
        <v>0.6</v>
      </c>
      <c r="R16" s="488" t="s">
        <v>124</v>
      </c>
      <c r="S16" s="15"/>
      <c r="T16" s="15"/>
      <c r="U16" s="118">
        <f>'Input-Output'!AF26</f>
        <v>5.0000000000000001E-3</v>
      </c>
      <c r="X16" s="75">
        <f t="shared" ref="X16:X21" si="2">B16</f>
        <v>7</v>
      </c>
      <c r="Z16" s="61" t="s">
        <v>125</v>
      </c>
      <c r="AA16" s="56"/>
      <c r="AB16" s="117">
        <f>'Input-Output'!AF24</f>
        <v>0.4</v>
      </c>
      <c r="AC16" s="62" t="s">
        <v>123</v>
      </c>
      <c r="AD16" s="19"/>
      <c r="AE16" s="117">
        <f>'Input-Output'!AF25</f>
        <v>0.6</v>
      </c>
      <c r="AH16" s="68" t="s">
        <v>124</v>
      </c>
      <c r="AK16" s="118">
        <f>'Input-Output'!AF26</f>
        <v>5.0000000000000001E-3</v>
      </c>
      <c r="AL16" s="180" t="s">
        <v>141</v>
      </c>
      <c r="AM16" s="151"/>
      <c r="AN16" s="155">
        <f>'Input-Output'!AF33</f>
        <v>22.400000000000002</v>
      </c>
      <c r="AO16" s="180" t="s">
        <v>228</v>
      </c>
      <c r="AP16" s="152"/>
      <c r="AR16" s="155">
        <f>SUM(AR19:AR21)</f>
        <v>-10822.332302267358</v>
      </c>
    </row>
    <row r="17" spans="2:44" ht="19.05" customHeight="1">
      <c r="B17" s="162" t="s">
        <v>58</v>
      </c>
      <c r="C17" s="168" t="s">
        <v>118</v>
      </c>
      <c r="D17" s="163" t="s">
        <v>117</v>
      </c>
      <c r="E17" s="169" t="s">
        <v>66</v>
      </c>
      <c r="F17" s="163"/>
      <c r="G17" s="170" t="s">
        <v>57</v>
      </c>
      <c r="H17" s="171"/>
      <c r="I17" s="171"/>
      <c r="J17" s="171"/>
      <c r="K17" s="171" t="s">
        <v>60</v>
      </c>
      <c r="L17" s="172" t="s">
        <v>20</v>
      </c>
      <c r="M17" s="172" t="s">
        <v>21</v>
      </c>
      <c r="N17" s="172" t="s">
        <v>36</v>
      </c>
      <c r="O17" s="145" t="s">
        <v>40</v>
      </c>
      <c r="P17" s="145" t="s">
        <v>37</v>
      </c>
      <c r="Q17" s="171" t="s">
        <v>38</v>
      </c>
      <c r="R17" s="485" t="s">
        <v>39</v>
      </c>
      <c r="S17" s="145" t="s">
        <v>41</v>
      </c>
      <c r="T17" s="145" t="s">
        <v>42</v>
      </c>
      <c r="U17" s="146" t="s">
        <v>43</v>
      </c>
      <c r="X17" s="166" t="str">
        <f t="shared" si="2"/>
        <v>Level</v>
      </c>
      <c r="Y17" s="163" t="str">
        <f>D17</f>
        <v>Bldg</v>
      </c>
      <c r="Z17" s="164" t="s">
        <v>142</v>
      </c>
      <c r="AA17" s="145"/>
      <c r="AB17" s="145"/>
      <c r="AC17" s="145"/>
      <c r="AD17" s="145"/>
      <c r="AE17" s="145"/>
      <c r="AF17" s="146"/>
      <c r="AH17" s="465" t="s">
        <v>76</v>
      </c>
      <c r="AI17" s="466" t="s">
        <v>68</v>
      </c>
      <c r="AJ17" s="466" t="s">
        <v>71</v>
      </c>
      <c r="AK17" s="466" t="s">
        <v>72</v>
      </c>
      <c r="AL17" s="466" t="s">
        <v>73</v>
      </c>
      <c r="AM17" s="467" t="s">
        <v>74</v>
      </c>
      <c r="AN17" s="468" t="s">
        <v>77</v>
      </c>
      <c r="AO17" s="467" t="s">
        <v>79</v>
      </c>
      <c r="AP17" s="469" t="s">
        <v>80</v>
      </c>
      <c r="AQ17" s="467" t="s">
        <v>225</v>
      </c>
      <c r="AR17" s="470" t="s">
        <v>226</v>
      </c>
    </row>
    <row r="18" spans="2:44" ht="19.05" customHeight="1">
      <c r="B18" s="173" t="s">
        <v>31</v>
      </c>
      <c r="C18" s="174" t="s">
        <v>59</v>
      </c>
      <c r="D18" s="174" t="s">
        <v>59</v>
      </c>
      <c r="E18" s="175" t="s">
        <v>14</v>
      </c>
      <c r="F18" s="175" t="s">
        <v>15</v>
      </c>
      <c r="G18" s="176" t="s">
        <v>18</v>
      </c>
      <c r="H18" s="176" t="s">
        <v>17</v>
      </c>
      <c r="I18" s="176" t="s">
        <v>19</v>
      </c>
      <c r="J18" s="176" t="s">
        <v>16</v>
      </c>
      <c r="K18" s="176" t="s">
        <v>61</v>
      </c>
      <c r="L18" s="177" t="s">
        <v>44</v>
      </c>
      <c r="M18" s="177" t="s">
        <v>44</v>
      </c>
      <c r="N18" s="177" t="s">
        <v>44</v>
      </c>
      <c r="O18" s="174" t="s">
        <v>47</v>
      </c>
      <c r="P18" s="174" t="s">
        <v>45</v>
      </c>
      <c r="Q18" s="176" t="s">
        <v>46</v>
      </c>
      <c r="R18" s="486" t="s">
        <v>22</v>
      </c>
      <c r="S18" s="174" t="s">
        <v>48</v>
      </c>
      <c r="T18" s="174" t="s">
        <v>49</v>
      </c>
      <c r="U18" s="178" t="s">
        <v>49</v>
      </c>
      <c r="X18" s="167" t="str">
        <f t="shared" si="2"/>
        <v>ID No.</v>
      </c>
      <c r="Y18" s="72" t="str">
        <f>D18</f>
        <v>Flr No.</v>
      </c>
      <c r="Z18" s="73" t="s">
        <v>50</v>
      </c>
      <c r="AA18" s="73" t="s">
        <v>51</v>
      </c>
      <c r="AB18" s="73" t="s">
        <v>52</v>
      </c>
      <c r="AC18" s="73" t="s">
        <v>53</v>
      </c>
      <c r="AD18" s="73" t="s">
        <v>54</v>
      </c>
      <c r="AE18" s="73" t="s">
        <v>55</v>
      </c>
      <c r="AF18" s="74" t="s">
        <v>56</v>
      </c>
      <c r="AH18" s="471" t="s">
        <v>140</v>
      </c>
      <c r="AI18" s="159" t="s">
        <v>19</v>
      </c>
      <c r="AJ18" s="159" t="s">
        <v>19</v>
      </c>
      <c r="AK18" s="160" t="s">
        <v>86</v>
      </c>
      <c r="AL18" s="161" t="s">
        <v>87</v>
      </c>
      <c r="AM18" s="158" t="s">
        <v>75</v>
      </c>
      <c r="AN18" s="157" t="s">
        <v>78</v>
      </c>
      <c r="AO18" s="158" t="s">
        <v>75</v>
      </c>
      <c r="AP18" s="160" t="s">
        <v>81</v>
      </c>
      <c r="AQ18" s="158" t="s">
        <v>204</v>
      </c>
      <c r="AR18" s="472" t="s">
        <v>227</v>
      </c>
    </row>
    <row r="19" spans="2:44" ht="19.05" customHeight="1">
      <c r="B19" s="132">
        <f>'Input-Output'!AI9</f>
        <v>22</v>
      </c>
      <c r="C19" s="37">
        <f>'Input-Output'!AJ9</f>
        <v>0</v>
      </c>
      <c r="D19" s="605" t="str">
        <f>'Input-Output'!AK9</f>
        <v>XX</v>
      </c>
      <c r="E19" s="45" t="str">
        <f>'Input-Output'!AL9</f>
        <v>XX</v>
      </c>
      <c r="F19" s="45" t="str">
        <f>'Input-Output'!AM9</f>
        <v>XX</v>
      </c>
      <c r="G19" s="38" t="str">
        <f t="shared" ref="G19:G21" si="3">IF(E19="XX","XX",((101325*(1-2.25577*(10^(-5))*F19)^5.2555)/1000))</f>
        <v>XX</v>
      </c>
      <c r="H19" s="38" t="str">
        <f xml:space="preserve"> IF(E19="XX", "XX", G19*$AB$3)</f>
        <v>XX</v>
      </c>
      <c r="I19" s="38" t="str">
        <f>IF(E19="XX", "XX", G19*$AD$3)</f>
        <v>XX</v>
      </c>
      <c r="J19" s="38" t="str">
        <f xml:space="preserve"> IF(E19="XX", "XX",G19*$AF$3)</f>
        <v>XX</v>
      </c>
      <c r="K19" s="38" t="str">
        <f xml:space="preserve"> IF(E19="XX", "XX", ( $K$65 + $U$4 * (E19-$D$4)/$F$4 ) )</f>
        <v>XX</v>
      </c>
      <c r="L19" s="33" t="str">
        <f xml:space="preserve"> IF(E19="XX", "XX", $L$65 - 0.00356*(E19-$E$65))</f>
        <v>XX</v>
      </c>
      <c r="M19" s="33" t="str">
        <f>IF(E19="XX","XX ", $M$65-0.00356*(E19-$E$65))</f>
        <v xml:space="preserve">XX </v>
      </c>
      <c r="N19" s="40" t="str">
        <f>IF(E19="XX","XX",100.45+33.193*AE19+2.319*AE19^2+0.17074*AE19^3+1.2063*(AD19*0.4897705)^3)</f>
        <v>XX</v>
      </c>
      <c r="O19" s="41" t="str">
        <f>IF(E19="XX","XX ",((1093-0.556*M19)*AA19-0.24*(L19-M19))/(1093+0.444*L19-M19))</f>
        <v xml:space="preserve">XX </v>
      </c>
      <c r="P19" s="42" t="str">
        <f xml:space="preserve"> IF(E19="XX", "XX", ((O19/AF19)/(1-(1-(O19/AF19))*(AB19/J19)))*100)</f>
        <v>XX</v>
      </c>
      <c r="Q19" s="480" t="str">
        <f xml:space="preserve"> IF(E19="XX", "XX", 0.7543*(T19*(1+1.6078*O19))/H19)</f>
        <v>XX</v>
      </c>
      <c r="R19" s="489" t="str">
        <f xml:space="preserve"> IF(E19="XX", "XX", 1/Q19)</f>
        <v>XX</v>
      </c>
      <c r="S19" s="57" t="str">
        <f>IF(E19="XX", "XX", 0.24*L19+O19*(1061+0.444*L19))</f>
        <v>XX</v>
      </c>
      <c r="T19" s="44" t="str">
        <f>IF(E19="XX", "XX", L19+459.7)</f>
        <v>XX</v>
      </c>
      <c r="U19" s="133" t="str">
        <f>IF(E19="XX", "XX", M19+459.7)</f>
        <v>XX</v>
      </c>
      <c r="X19" s="147">
        <f t="shared" si="2"/>
        <v>22</v>
      </c>
      <c r="Y19" s="34" t="str">
        <f>D19</f>
        <v>XX</v>
      </c>
      <c r="Z19" s="41" t="str">
        <f xml:space="preserve"> IF(E19="XX", "XX", EXP((-10440.397/U19)+(-11.29465) + (-0.027022355*U19) + (0.00001289036*U19*U19) + (-0.0000000024780681*U19^3)+(6.5459673*LN(U19))) )</f>
        <v>XX</v>
      </c>
      <c r="AA19" s="39" t="str">
        <f>IF(E19="XX", "XX", 0.62198*Z19/(J19-Z19))</f>
        <v>XX</v>
      </c>
      <c r="AB19" s="41" t="str">
        <f xml:space="preserve"> IF(E19="XX", "XX", EXP((-10440.397/T19)+(-11.29465) + (-0.027022355*T19) + (0.00001289036*T19*T19) + (-0.0000000024780681*T19^3)+(6.5459673*LN(T19))) )</f>
        <v>XX</v>
      </c>
      <c r="AC19" s="39" t="str">
        <f>IF(E19="XX", "XX", AB19*2.041772658 )</f>
        <v>XX</v>
      </c>
      <c r="AD19" s="39" t="str">
        <f>IF(E19="XX", "XX", (H19*O19)/(0.62198+O19))</f>
        <v>XX</v>
      </c>
      <c r="AE19" s="39" t="str">
        <f>IF(E19="XX", "XX", LN(AD19*0.4897705))</f>
        <v>XX</v>
      </c>
      <c r="AF19" s="140" t="str">
        <f>IF(E19="XX", "XX", 0.62198*(AB19/(J19-AB19)))</f>
        <v>XX</v>
      </c>
      <c r="AH19" s="473" t="str">
        <f xml:space="preserve"> IF(D19="XX", "XX", E19- $D$4)</f>
        <v>XX</v>
      </c>
      <c r="AI19" s="154" t="str">
        <f xml:space="preserve"> IF(D19="XX", "XX", $AN$3 * R19 * (T19-$T$7)/$T$7 * $AP$3 * ($H$4-AH19))</f>
        <v>XX</v>
      </c>
      <c r="AJ19" s="154" t="str">
        <f xml:space="preserve"> IF(D19="XX", "XX", $AR$3 * $AN$4^2 * $AR$4 * R19 * K19^2/2)</f>
        <v>XX</v>
      </c>
      <c r="AK19" s="154" t="str">
        <f xml:space="preserve"> IF(D19="XX", "XX", AI19 +AJ19)</f>
        <v>XX</v>
      </c>
      <c r="AL19" s="154" t="str">
        <f xml:space="preserve"> IF(D19="XX", "XX", AK19 +$AK$16)</f>
        <v>XX</v>
      </c>
      <c r="AM19" s="26" t="str">
        <f xml:space="preserve"> IF(D19="XX", "XX", 60 * ($AP$4 * $AN$16 * (2 * ABS(AL19)/R19)^0.5))</f>
        <v>XX</v>
      </c>
      <c r="AN19" s="27" t="str">
        <f>IF(D19="XX", "XX", IF(AL19&lt;0, "Exfl", "Infl"))</f>
        <v>XX</v>
      </c>
      <c r="AO19" s="26" t="str">
        <f t="shared" ref="AO19:AO21" si="4" xml:space="preserve"> IF(AN19="Infl", -AM19, AM19)</f>
        <v>XX</v>
      </c>
      <c r="AP19" s="474" t="str">
        <f>IF(D19="XX", "XX", AO19/$K$10)</f>
        <v>XX</v>
      </c>
      <c r="AQ19" s="26" t="str">
        <f t="shared" ref="AQ19:AQ21" si="5">IF(D19="XX", "XX", AO19*1.08*(L19-$L$8))</f>
        <v>XX</v>
      </c>
      <c r="AR19" s="392" t="str">
        <f xml:space="preserve"> IF(D19="XX", "XX", AO19 * 1.08 * 3000/1000)</f>
        <v>XX</v>
      </c>
    </row>
    <row r="20" spans="2:44" ht="19.05" customHeight="1">
      <c r="B20" s="132">
        <f>'Input-Output'!AI10</f>
        <v>21</v>
      </c>
      <c r="C20" s="37">
        <f>'Input-Output'!AJ10</f>
        <v>10</v>
      </c>
      <c r="D20" s="605">
        <f>'Input-Output'!AK10</f>
        <v>93</v>
      </c>
      <c r="E20" s="45">
        <f>'Input-Output'!AL10</f>
        <v>1689</v>
      </c>
      <c r="F20" s="45">
        <f>'Input-Output'!AM10</f>
        <v>514.80720000000008</v>
      </c>
      <c r="G20" s="38">
        <f t="shared" si="3"/>
        <v>95.291880795597251</v>
      </c>
      <c r="H20" s="38">
        <f xml:space="preserve"> IF(E20="XX", "XX", G20*$AB$3)</f>
        <v>28.216405638904973</v>
      </c>
      <c r="I20" s="38">
        <f>IF(E20="XX", "XX", G20*$AD$3)</f>
        <v>382.93669069339205</v>
      </c>
      <c r="J20" s="38">
        <f xml:space="preserve"> IF(E20="XX", "XX",G20*$AF$3)</f>
        <v>13.820913388659964</v>
      </c>
      <c r="K20" s="38">
        <f xml:space="preserve"> IF(E20="XX", "XX", ( $K$65 + $U$4 * (E20-$D$4)/$F$4 ) )</f>
        <v>19.541634835752483</v>
      </c>
      <c r="L20" s="33">
        <f xml:space="preserve"> IF(E20="XX", "XX", $L$65 - 0.00356*(E20-$E$65))</f>
        <v>-20.232839999999999</v>
      </c>
      <c r="M20" s="33">
        <f>IF(E20="XX","XX ", $M$65-0.00356*(E20-$E$65))</f>
        <v>-20.232839999999999</v>
      </c>
      <c r="N20" s="40">
        <f>IF(E20="XX","XX",100.45+33.193*AE20+2.319*AE20^2+0.17074*AE20^3+1.2063*(AD20*0.4897705)^3)</f>
        <v>-24.602522165348763</v>
      </c>
      <c r="O20" s="41">
        <f>IF(E20="XX","XX ",((1093-0.556*M20)*AA20-0.24*(L20-M20))/(1093+0.444*L20-M20))</f>
        <v>3.66185580338366E-4</v>
      </c>
      <c r="P20" s="42">
        <f xml:space="preserve"> IF(E20="XX", "XX", ((O20/AF20)/(1-(1-(O20/AF20))*(AB20/J20)))*100)</f>
        <v>100</v>
      </c>
      <c r="Q20" s="480">
        <f xml:space="preserve"> IF(E20="XX", "XX", 0.7543*(T20*(1+1.6078*O20))/H20)</f>
        <v>11.755049486791879</v>
      </c>
      <c r="R20" s="489">
        <f xml:space="preserve"> IF(E20="XX", "XX", 1/Q20)</f>
        <v>8.5069824769654315E-2</v>
      </c>
      <c r="S20" s="57">
        <f>IF(E20="XX", "XX", 0.24*L20+O20*(1061+0.444*L20))</f>
        <v>-4.470648283831232</v>
      </c>
      <c r="T20" s="44">
        <f>IF(E20="XX", "XX", L20+459.7)</f>
        <v>439.46715999999998</v>
      </c>
      <c r="U20" s="133">
        <f>IF(E20="XX", "XX", M20+459.7)</f>
        <v>439.46715999999998</v>
      </c>
      <c r="X20" s="147">
        <f t="shared" si="2"/>
        <v>21</v>
      </c>
      <c r="Y20" s="34">
        <f>D20</f>
        <v>93</v>
      </c>
      <c r="Z20" s="41">
        <f xml:space="preserve"> IF(E20="XX", "XX", EXP((-10440.397/U20)+(-11.29465) + (-0.027022355*U20) + (0.00001289036*U20*U20) + (-0.0000000024780681*U20^3)+(6.5459673*LN(U20))) )</f>
        <v>8.1321606965636603E-3</v>
      </c>
      <c r="AA20" s="39">
        <f>IF(E20="XX", "XX", 0.62198*Z20/(J20-Z20))</f>
        <v>3.66185580338366E-4</v>
      </c>
      <c r="AB20" s="41">
        <f xml:space="preserve"> IF(E20="XX", "XX", EXP((-10440.397/T20)+(-11.29465) + (-0.027022355*T20) + (0.00001289036*T20*T20) + (-0.0000000024780681*T20^3)+(6.5459673*LN(T20))) )</f>
        <v>8.1321606965636603E-3</v>
      </c>
      <c r="AC20" s="39">
        <f>IF(E20="XX", "XX", AB20*2.041772658 )</f>
        <v>1.6604023360705919E-2</v>
      </c>
      <c r="AD20" s="39">
        <f>IF(E20="XX", "XX", (H20*O20)/(0.62198+O20))</f>
        <v>1.6602400903783399E-2</v>
      </c>
      <c r="AE20" s="39">
        <f>IF(E20="XX", "XX", LN(AD20*0.4897705))</f>
        <v>-4.8120263262625622</v>
      </c>
      <c r="AF20" s="140">
        <f>IF(E20="XX", "XX", 0.62198*(AB20/(J20-AB20)))</f>
        <v>3.66185580338366E-4</v>
      </c>
      <c r="AH20" s="473">
        <f xml:space="preserve"> IF(D20="XX", "XX", E20- $D$4)</f>
        <v>1189</v>
      </c>
      <c r="AI20" s="154">
        <f xml:space="preserve"> IF(D20="XX", "XX", $AN$3 * R20 * (T20-$T$7)/$T$7 * $AP$3 * ($H$4-AH20))</f>
        <v>0.15579447227601301</v>
      </c>
      <c r="AJ20" s="154">
        <f xml:space="preserve"> IF(D20="XX", "XX", $AR$3 * $AN$4^2 * $AR$4 * R20 * K20^2/2)</f>
        <v>2.196059088636685E-3</v>
      </c>
      <c r="AK20" s="154">
        <f xml:space="preserve"> IF(D20="XX", "XX", AI20 +AJ20)</f>
        <v>0.15799053136464969</v>
      </c>
      <c r="AL20" s="154">
        <f xml:space="preserve"> IF(D20="XX", "XX", AK20 +$AK$16)</f>
        <v>0.16299053136464969</v>
      </c>
      <c r="AM20" s="26">
        <f xml:space="preserve"> IF(D20="XX", "XX", 60 * ($AP$4 * $AN$16 * (2 * ABS(AL20)/R20)^0.5))</f>
        <v>1710.0981685580489</v>
      </c>
      <c r="AN20" s="27" t="str">
        <f>IF(D20="XX", "XX", IF(AL20&lt;0, "Exfl", "Infl"))</f>
        <v>Infl</v>
      </c>
      <c r="AO20" s="26">
        <f t="shared" si="4"/>
        <v>-1710.0981685580489</v>
      </c>
      <c r="AP20" s="474">
        <f>IF(D20="XX", "XX", AO20/$K$10)</f>
        <v>-0.20358311530452963</v>
      </c>
      <c r="AQ20" s="26">
        <f t="shared" si="5"/>
        <v>170345.38762610016</v>
      </c>
      <c r="AR20" s="392">
        <f xml:space="preserve"> IF(D20="XX", "XX", AO20 * 1.08 * 3000/1000)</f>
        <v>-5540.718066128079</v>
      </c>
    </row>
    <row r="21" spans="2:44" ht="19.05" customHeight="1" thickBot="1">
      <c r="B21" s="120">
        <f>'Input-Output'!AI11</f>
        <v>20</v>
      </c>
      <c r="C21" s="121">
        <f>'Input-Output'!AJ11</f>
        <v>5</v>
      </c>
      <c r="D21" s="604">
        <f>'Input-Output'!AK11</f>
        <v>88</v>
      </c>
      <c r="E21" s="122">
        <f>'Input-Output'!AL11</f>
        <v>1639</v>
      </c>
      <c r="F21" s="122">
        <f>'Input-Output'!AM11</f>
        <v>499.56720000000001</v>
      </c>
      <c r="G21" s="103">
        <f t="shared" si="3"/>
        <v>95.466199524531262</v>
      </c>
      <c r="H21" s="103">
        <f xml:space="preserve"> IF(E21="XX", "XX", G21*$AB$3)</f>
        <v>28.26802229212867</v>
      </c>
      <c r="I21" s="103">
        <f>IF(E21="XX", "XX", G21*$AD$3)</f>
        <v>383.63720197123172</v>
      </c>
      <c r="J21" s="103">
        <f xml:space="preserve"> IF(E21="XX", "XX",G21*$AF$3)</f>
        <v>13.846196172822722</v>
      </c>
      <c r="K21" s="103">
        <f xml:space="preserve"> IF(E21="XX", "XX", ( $K$65 + $U$4 * (E21-$D$4)/$F$4 ) )</f>
        <v>19.350649350649348</v>
      </c>
      <c r="L21" s="123">
        <f xml:space="preserve"> IF(E21="XX", "XX", $L$65 - 0.00356*(E21-$E$65))</f>
        <v>-20.054839999999999</v>
      </c>
      <c r="M21" s="123">
        <f>IF(E21="XX","XX ", $M$65-0.00356*(E21-$E$65))</f>
        <v>-20.054839999999999</v>
      </c>
      <c r="N21" s="124">
        <f>IF(E21="XX","XX",100.45+33.193*AE21+2.319*AE21^2+0.17074*AE21^3+1.2063*(AD21*0.4897705)^3)</f>
        <v>-24.392894289281738</v>
      </c>
      <c r="O21" s="125">
        <f>IF(E21="XX","XX ",((1093-0.556*M21)*AA21-0.24*(L21-M21))/(1093+0.444*L21-M21))</f>
        <v>3.6890448989675254E-4</v>
      </c>
      <c r="P21" s="126">
        <f xml:space="preserve"> IF(E21="XX", "XX", ((O21/AF21)/(1-(1-(O21/AF21))*(AB21/J21)))*100)</f>
        <v>100</v>
      </c>
      <c r="Q21" s="479">
        <f xml:space="preserve"> IF(E21="XX", "XX", 0.7543*(T21*(1+1.6078*O21))/H21)</f>
        <v>11.738388887919445</v>
      </c>
      <c r="R21" s="487">
        <f xml:space="preserve"> IF(E21="XX", "XX", 1/Q21)</f>
        <v>8.5190566571631418E-2</v>
      </c>
      <c r="S21" s="129">
        <f>IF(E21="XX", "XX", 0.24*L21+O21*(1061+0.444*L21))</f>
        <v>-4.4250387905304969</v>
      </c>
      <c r="T21" s="130">
        <f>IF(E21="XX", "XX", L21+459.7)</f>
        <v>439.64515999999998</v>
      </c>
      <c r="U21" s="131">
        <f>IF(E21="XX", "XX", M21+459.7)</f>
        <v>439.64515999999998</v>
      </c>
      <c r="X21" s="148">
        <f t="shared" si="2"/>
        <v>20</v>
      </c>
      <c r="Y21" s="128">
        <f>D21</f>
        <v>88</v>
      </c>
      <c r="Z21" s="125">
        <f xml:space="preserve"> IF(E21="XX", "XX", EXP((-10440.397/U21)+(-11.29465) + (-0.027022355*U21) + (0.00001289036*U21*U21) + (-0.0000000024780681*U21^3)+(6.5459673*LN(U21))) )</f>
        <v>8.2074924520550135E-3</v>
      </c>
      <c r="AA21" s="142">
        <f>IF(E21="XX", "XX", 0.62198*Z21/(J21-Z21))</f>
        <v>3.6890448989675254E-4</v>
      </c>
      <c r="AB21" s="125">
        <f xml:space="preserve"> IF(E21="XX", "XX", EXP((-10440.397/T21)+(-11.29465) + (-0.027022355*T21) + (0.00001289036*T21*T21) + (-0.0000000024780681*T21^3)+(6.5459673*LN(T21))) )</f>
        <v>8.2074924520550135E-3</v>
      </c>
      <c r="AC21" s="142">
        <f>IF(E21="XX", "XX", AB21*2.041772658 )</f>
        <v>1.6757833679347304E-2</v>
      </c>
      <c r="AD21" s="142">
        <f>IF(E21="XX", "XX", (H21*O21)/(0.62198+O21))</f>
        <v>1.6756196192897848E-2</v>
      </c>
      <c r="AE21" s="142">
        <f>IF(E21="XX", "XX", LN(AD21*0.4897705))</f>
        <v>-4.8028055320939211</v>
      </c>
      <c r="AF21" s="149">
        <f>IF(E21="XX", "XX", 0.62198*(AB21/(J21-AB21)))</f>
        <v>3.6890448989675254E-4</v>
      </c>
      <c r="AH21" s="475">
        <f xml:space="preserve"> IF(D21="XX", "XX", E21- $D$4)</f>
        <v>1139</v>
      </c>
      <c r="AI21" s="1">
        <f xml:space="preserve"> IF(D21="XX", "XX", $AN$3 * R21 * (T21-$T$7)/$T$7 * $AP$3 * ($H$4-AH21))</f>
        <v>0.14115672833413076</v>
      </c>
      <c r="AJ21" s="1">
        <f xml:space="preserve"> IF(D21="XX", "XX", $AR$3 * $AN$4^2 * $AR$4 * R21 * K21^2/2)</f>
        <v>2.1563998304550335E-3</v>
      </c>
      <c r="AK21" s="1">
        <f xml:space="preserve"> IF(D21="XX", "XX", AI21 +AJ21)</f>
        <v>0.1433131281645858</v>
      </c>
      <c r="AL21" s="1">
        <f xml:space="preserve"> IF(D21="XX", "XX", AK21 +$AK$16)</f>
        <v>0.14831312816458581</v>
      </c>
      <c r="AM21" s="28">
        <f xml:space="preserve"> IF(D21="XX", "XX", 60 * ($AP$4 * $AN$16 * (2 * ABS(AL21)/R21)^0.5))</f>
        <v>1630.1278506602712</v>
      </c>
      <c r="AN21" s="29" t="str">
        <f>IF(D21="XX", "XX", IF(AL21&lt;0, "Exfl", "Infl"))</f>
        <v>Infl</v>
      </c>
      <c r="AO21" s="28">
        <f t="shared" si="4"/>
        <v>-1630.1278506602712</v>
      </c>
      <c r="AP21" s="476">
        <f>IF(D21="XX", "XX", AO21/$K$10)</f>
        <v>-0.19406283936431801</v>
      </c>
      <c r="AQ21" s="28">
        <f t="shared" si="5"/>
        <v>162066.05114984117</v>
      </c>
      <c r="AR21" s="397">
        <f xml:space="preserve"> IF(D21="XX", "XX", AO21 * 1.08 * 3000/1000)</f>
        <v>-5281.6142361392785</v>
      </c>
    </row>
    <row r="22" spans="2:44" ht="19.05" customHeight="1">
      <c r="B22" s="13"/>
      <c r="C22" s="13"/>
      <c r="D22" s="13"/>
      <c r="E22" s="13"/>
      <c r="F22" s="23"/>
      <c r="G22" s="14"/>
      <c r="H22" s="14"/>
      <c r="I22" s="14"/>
      <c r="J22" s="14"/>
      <c r="K22" s="14"/>
      <c r="L22" s="9"/>
      <c r="M22" s="9"/>
      <c r="N22" s="18"/>
      <c r="O22" s="19"/>
      <c r="P22" s="20"/>
      <c r="Q22" s="436"/>
      <c r="R22" s="482"/>
      <c r="S22" s="56"/>
      <c r="T22" s="22"/>
      <c r="U22" s="22"/>
      <c r="Z22" s="19"/>
      <c r="AA22" s="15"/>
      <c r="AB22" s="19"/>
      <c r="AC22" s="15"/>
      <c r="AD22" s="15"/>
      <c r="AE22" s="15"/>
      <c r="AF22" s="19"/>
      <c r="AH22" s="58"/>
      <c r="AI22" s="151"/>
      <c r="AJ22" s="151"/>
      <c r="AK22" s="151"/>
      <c r="AL22" s="151"/>
      <c r="AM22" s="153"/>
      <c r="AN22" s="16"/>
      <c r="AO22" s="153"/>
      <c r="AP22" s="152"/>
      <c r="AQ22" s="153"/>
      <c r="AR22" s="153"/>
    </row>
    <row r="23" spans="2:44" ht="19.05" customHeight="1" thickBot="1">
      <c r="B23" s="66" t="str">
        <f>'Input-Output'!AK12</f>
        <v>6 (x)</v>
      </c>
      <c r="E23" s="13" t="s">
        <v>121</v>
      </c>
      <c r="F23" s="23"/>
      <c r="G23" s="115">
        <f>'Input-Output'!AE22</f>
        <v>25</v>
      </c>
      <c r="H23" s="435" t="s">
        <v>122</v>
      </c>
      <c r="I23" s="436"/>
      <c r="J23" s="436"/>
      <c r="K23" s="116">
        <f>'Input-Output'!AE32</f>
        <v>5600</v>
      </c>
      <c r="X23" s="75" t="str">
        <f t="shared" ref="X23:X29" si="6">B23</f>
        <v>6 (x)</v>
      </c>
      <c r="Z23" s="61" t="s">
        <v>125</v>
      </c>
      <c r="AA23" s="56"/>
      <c r="AB23" s="117">
        <f>'Input-Output'!AE24</f>
        <v>0.35</v>
      </c>
      <c r="AC23" s="62" t="s">
        <v>123</v>
      </c>
      <c r="AD23" s="19"/>
      <c r="AE23" s="117">
        <f>-'Input-Output'!AE25</f>
        <v>-0.6</v>
      </c>
      <c r="AH23" s="68" t="s">
        <v>124</v>
      </c>
      <c r="AK23" s="118">
        <f>'Input-Output'!AE26</f>
        <v>5.0000000000000001E-3</v>
      </c>
      <c r="AL23" s="150" t="s">
        <v>141</v>
      </c>
      <c r="AM23" s="151"/>
      <c r="AN23" s="155">
        <f>'Input-Output'!AE33</f>
        <v>19.599999999999998</v>
      </c>
      <c r="AO23" s="180" t="s">
        <v>228</v>
      </c>
      <c r="AP23" s="152"/>
      <c r="AR23" s="155">
        <f>SUM(AR26:AR29)</f>
        <v>-11529.719741450208</v>
      </c>
    </row>
    <row r="24" spans="2:44" ht="19.05" customHeight="1">
      <c r="B24" s="162" t="s">
        <v>58</v>
      </c>
      <c r="C24" s="168" t="s">
        <v>118</v>
      </c>
      <c r="D24" s="163" t="s">
        <v>117</v>
      </c>
      <c r="E24" s="169" t="s">
        <v>66</v>
      </c>
      <c r="F24" s="163"/>
      <c r="G24" s="170" t="s">
        <v>57</v>
      </c>
      <c r="H24" s="171"/>
      <c r="I24" s="171"/>
      <c r="J24" s="171"/>
      <c r="K24" s="171" t="s">
        <v>60</v>
      </c>
      <c r="L24" s="172" t="s">
        <v>20</v>
      </c>
      <c r="M24" s="172" t="s">
        <v>21</v>
      </c>
      <c r="N24" s="172" t="s">
        <v>36</v>
      </c>
      <c r="O24" s="145" t="s">
        <v>40</v>
      </c>
      <c r="P24" s="145" t="s">
        <v>37</v>
      </c>
      <c r="Q24" s="171" t="s">
        <v>38</v>
      </c>
      <c r="R24" s="485" t="s">
        <v>39</v>
      </c>
      <c r="S24" s="145" t="s">
        <v>41</v>
      </c>
      <c r="T24" s="145" t="s">
        <v>42</v>
      </c>
      <c r="U24" s="146" t="s">
        <v>43</v>
      </c>
      <c r="X24" s="166" t="str">
        <f t="shared" si="6"/>
        <v>Level</v>
      </c>
      <c r="Y24" s="163" t="str">
        <f t="shared" ref="Y24:Y29" si="7">D24</f>
        <v>Bldg</v>
      </c>
      <c r="Z24" s="164" t="s">
        <v>142</v>
      </c>
      <c r="AA24" s="145"/>
      <c r="AB24" s="145"/>
      <c r="AC24" s="145"/>
      <c r="AD24" s="145"/>
      <c r="AE24" s="145"/>
      <c r="AF24" s="146"/>
      <c r="AH24" s="465" t="s">
        <v>76</v>
      </c>
      <c r="AI24" s="466" t="s">
        <v>68</v>
      </c>
      <c r="AJ24" s="466" t="s">
        <v>71</v>
      </c>
      <c r="AK24" s="466" t="s">
        <v>72</v>
      </c>
      <c r="AL24" s="466" t="s">
        <v>73</v>
      </c>
      <c r="AM24" s="467" t="s">
        <v>74</v>
      </c>
      <c r="AN24" s="468" t="s">
        <v>77</v>
      </c>
      <c r="AO24" s="467" t="s">
        <v>79</v>
      </c>
      <c r="AP24" s="469" t="s">
        <v>80</v>
      </c>
      <c r="AQ24" s="467" t="s">
        <v>225</v>
      </c>
      <c r="AR24" s="470" t="s">
        <v>226</v>
      </c>
    </row>
    <row r="25" spans="2:44" ht="19.05" customHeight="1">
      <c r="B25" s="173" t="s">
        <v>31</v>
      </c>
      <c r="C25" s="174" t="s">
        <v>59</v>
      </c>
      <c r="D25" s="174" t="s">
        <v>59</v>
      </c>
      <c r="E25" s="175" t="s">
        <v>14</v>
      </c>
      <c r="F25" s="175" t="s">
        <v>15</v>
      </c>
      <c r="G25" s="176" t="s">
        <v>18</v>
      </c>
      <c r="H25" s="176" t="s">
        <v>17</v>
      </c>
      <c r="I25" s="176" t="s">
        <v>19</v>
      </c>
      <c r="J25" s="176" t="s">
        <v>16</v>
      </c>
      <c r="K25" s="176" t="s">
        <v>61</v>
      </c>
      <c r="L25" s="177" t="s">
        <v>44</v>
      </c>
      <c r="M25" s="177" t="s">
        <v>44</v>
      </c>
      <c r="N25" s="177" t="s">
        <v>44</v>
      </c>
      <c r="O25" s="174" t="s">
        <v>47</v>
      </c>
      <c r="P25" s="174" t="s">
        <v>45</v>
      </c>
      <c r="Q25" s="176" t="s">
        <v>46</v>
      </c>
      <c r="R25" s="486" t="s">
        <v>22</v>
      </c>
      <c r="S25" s="174" t="s">
        <v>48</v>
      </c>
      <c r="T25" s="174" t="s">
        <v>49</v>
      </c>
      <c r="U25" s="178" t="s">
        <v>49</v>
      </c>
      <c r="X25" s="167" t="str">
        <f t="shared" si="6"/>
        <v>ID No.</v>
      </c>
      <c r="Y25" s="72" t="str">
        <f t="shared" si="7"/>
        <v>Flr No.</v>
      </c>
      <c r="Z25" s="73" t="s">
        <v>50</v>
      </c>
      <c r="AA25" s="73" t="s">
        <v>51</v>
      </c>
      <c r="AB25" s="73" t="s">
        <v>52</v>
      </c>
      <c r="AC25" s="73" t="s">
        <v>53</v>
      </c>
      <c r="AD25" s="73" t="s">
        <v>54</v>
      </c>
      <c r="AE25" s="73" t="s">
        <v>55</v>
      </c>
      <c r="AF25" s="74" t="s">
        <v>56</v>
      </c>
      <c r="AH25" s="471" t="s">
        <v>140</v>
      </c>
      <c r="AI25" s="159" t="s">
        <v>19</v>
      </c>
      <c r="AJ25" s="159" t="s">
        <v>19</v>
      </c>
      <c r="AK25" s="160" t="s">
        <v>86</v>
      </c>
      <c r="AL25" s="161" t="s">
        <v>87</v>
      </c>
      <c r="AM25" s="158" t="s">
        <v>75</v>
      </c>
      <c r="AN25" s="157" t="s">
        <v>78</v>
      </c>
      <c r="AO25" s="158" t="s">
        <v>75</v>
      </c>
      <c r="AP25" s="160" t="s">
        <v>81</v>
      </c>
      <c r="AQ25" s="158" t="s">
        <v>204</v>
      </c>
      <c r="AR25" s="472" t="s">
        <v>227</v>
      </c>
    </row>
    <row r="26" spans="2:44" ht="19.05" customHeight="1">
      <c r="B26" s="132">
        <f>'Input-Output'!AI13</f>
        <v>19</v>
      </c>
      <c r="C26" s="37">
        <f>'Input-Output'!AJ13</f>
        <v>0</v>
      </c>
      <c r="D26" s="605" t="str">
        <f>'Input-Output'!AK13</f>
        <v>XX</v>
      </c>
      <c r="E26" s="45" t="str">
        <f>'Input-Output'!AL13</f>
        <v>XX</v>
      </c>
      <c r="F26" s="45" t="str">
        <f>'Input-Output'!AM13</f>
        <v>XX</v>
      </c>
      <c r="G26" s="38" t="str">
        <f t="shared" ref="G26:G29" si="8">IF(E26="XX","XX",((101325*(1-2.25577*(10^(-5))*F26)^5.2555)/1000))</f>
        <v>XX</v>
      </c>
      <c r="H26" s="38" t="str">
        <f xml:space="preserve"> IF(E26="XX", "XX", G26*$AB$3)</f>
        <v>XX</v>
      </c>
      <c r="I26" s="38" t="str">
        <f>IF(E26="XX", "XX", G26*$AD$3)</f>
        <v>XX</v>
      </c>
      <c r="J26" s="38" t="str">
        <f xml:space="preserve"> IF(E26="XX", "XX",G26*$AF$3)</f>
        <v>XX</v>
      </c>
      <c r="K26" s="38" t="str">
        <f xml:space="preserve"> IF(E26="XX", "XX", ( $K$65 + $U$4 * (E26-$D$4)/$F$4 ) )</f>
        <v>XX</v>
      </c>
      <c r="L26" s="33" t="str">
        <f xml:space="preserve"> IF(E26="XX", "XX", $L$65 - 0.00356*(E26-$E$65))</f>
        <v>XX</v>
      </c>
      <c r="M26" s="33" t="str">
        <f>IF(E26="XX","XX ", $M$65-0.00356*(E26-$E$65))</f>
        <v xml:space="preserve">XX </v>
      </c>
      <c r="N26" s="40" t="str">
        <f>IF(E26="XX","XX",100.45+33.193*AE26+2.319*AE26^2+0.17074*AE26^3+1.2063*(AD26*0.4897705)^3)</f>
        <v>XX</v>
      </c>
      <c r="O26" s="41" t="str">
        <f>IF(E26="XX","XX ",((1093-0.556*M26)*AA26-0.24*(L26-M26))/(1093+0.444*L26-M26))</f>
        <v xml:space="preserve">XX </v>
      </c>
      <c r="P26" s="42" t="str">
        <f xml:space="preserve"> IF(E26="XX", "XX", ((O26/AF26)/(1-(1-(O26/AF26))*(AB26/J26)))*100)</f>
        <v>XX</v>
      </c>
      <c r="Q26" s="480" t="str">
        <f xml:space="preserve"> IF(E26="XX", "XX", 0.7543*(T26*(1+1.6078*O26))/H26)</f>
        <v>XX</v>
      </c>
      <c r="R26" s="489" t="str">
        <f xml:space="preserve"> IF(E26="XX", "XX", 1/Q26)</f>
        <v>XX</v>
      </c>
      <c r="S26" s="57" t="str">
        <f>IF(E26="XX", "XX", 0.24*L26+O26*(1061+0.444*L26))</f>
        <v>XX</v>
      </c>
      <c r="T26" s="44" t="str">
        <f>IF(E26="XX", "XX", L26+459.7)</f>
        <v>XX</v>
      </c>
      <c r="U26" s="133" t="str">
        <f>IF(E26="XX", "XX", M26+459.7)</f>
        <v>XX</v>
      </c>
      <c r="X26" s="147">
        <f t="shared" si="6"/>
        <v>19</v>
      </c>
      <c r="Y26" s="34" t="str">
        <f t="shared" si="7"/>
        <v>XX</v>
      </c>
      <c r="Z26" s="41" t="str">
        <f xml:space="preserve"> IF(E26="XX", "XX", EXP((-10440.397/U26)+(-11.29465) + (-0.027022355*U26) + (0.00001289036*U26*U26) + (-0.0000000024780681*U26^3)+(6.5459673*LN(U26))) )</f>
        <v>XX</v>
      </c>
      <c r="AA26" s="39" t="str">
        <f>IF(E26="XX", "XX", 0.62198*Z26/(J26-Z26))</f>
        <v>XX</v>
      </c>
      <c r="AB26" s="41" t="str">
        <f xml:space="preserve"> IF(E26="XX", "XX", EXP((-10440.397/T26)+(-11.29465) + (-0.027022355*T26) + (0.00001289036*T26*T26) + (-0.0000000024780681*T26^3)+(6.5459673*LN(T26))) )</f>
        <v>XX</v>
      </c>
      <c r="AC26" s="39" t="str">
        <f>IF(E26="XX", "XX", AB26*2.041772658 )</f>
        <v>XX</v>
      </c>
      <c r="AD26" s="39" t="str">
        <f>IF(E26="XX", "XX", (H26*O26)/(0.62198+O26))</f>
        <v>XX</v>
      </c>
      <c r="AE26" s="39" t="str">
        <f>IF(E26="XX", "XX", LN(AD26*0.4897705))</f>
        <v>XX</v>
      </c>
      <c r="AF26" s="140" t="str">
        <f>IF(E26="XX", "XX", 0.62198*(AB26/(J26-AB26)))</f>
        <v>XX</v>
      </c>
      <c r="AH26" s="473" t="str">
        <f xml:space="preserve"> IF(D26="XX", "XX", E26- $D$4)</f>
        <v>XX</v>
      </c>
      <c r="AI26" s="154" t="str">
        <f xml:space="preserve"> IF(D26="XX", "XX", $AN$3 * R26 * (T26-$T$7)/$T$7 * $AP$3 * ($H$4-AH26))</f>
        <v>XX</v>
      </c>
      <c r="AJ26" s="154" t="str">
        <f xml:space="preserve"> IF(D26="XX", "XX", $AR$3 * $AN$4^2 * $AR$4 * R26 * K26^2/2)</f>
        <v>XX</v>
      </c>
      <c r="AK26" s="154" t="str">
        <f xml:space="preserve"> IF(D26="XX", "XX", AI26 +AJ26)</f>
        <v>XX</v>
      </c>
      <c r="AL26" s="154" t="str">
        <f xml:space="preserve"> IF(D26="XX", "XX", AK26 +$AK$23)</f>
        <v>XX</v>
      </c>
      <c r="AM26" s="26" t="str">
        <f xml:space="preserve"> IF(D26="XX", "XX", 60 * ($AP$4 * $AN$23 * (2 * ABS(AL26)/R26)^0.5))</f>
        <v>XX</v>
      </c>
      <c r="AN26" s="27" t="str">
        <f>IF(D26="XX", "XX", IF(AL26&lt;0, "Exfl", "Infl"))</f>
        <v>XX</v>
      </c>
      <c r="AO26" s="26" t="str">
        <f t="shared" ref="AO26:AO29" si="9" xml:space="preserve"> IF(AN26="Infl", -AM26, AM26)</f>
        <v>XX</v>
      </c>
      <c r="AP26" s="474" t="str">
        <f>IF(D26="XX", "XX", AO26/$K$10)</f>
        <v>XX</v>
      </c>
      <c r="AQ26" s="26" t="str">
        <f t="shared" ref="AQ26:AQ29" si="10">IF(D26="XX", "XX", AO26*1.08*(L26-$L$8))</f>
        <v>XX</v>
      </c>
      <c r="AR26" s="392" t="str">
        <f xml:space="preserve"> IF(D26="XX", "XX", AO26 * 1.08 * 3000/1000)</f>
        <v>XX</v>
      </c>
    </row>
    <row r="27" spans="2:44" ht="19.05" customHeight="1">
      <c r="B27" s="132">
        <f>'Input-Output'!AI14</f>
        <v>18</v>
      </c>
      <c r="C27" s="37">
        <f>'Input-Output'!AJ14</f>
        <v>25</v>
      </c>
      <c r="D27" s="605">
        <f>'Input-Output'!AK14</f>
        <v>83</v>
      </c>
      <c r="E27" s="45">
        <f>'Input-Output'!AL14</f>
        <v>1589</v>
      </c>
      <c r="F27" s="45">
        <f>'Input-Output'!AM14</f>
        <v>484.3272</v>
      </c>
      <c r="G27" s="38">
        <f t="shared" si="8"/>
        <v>95.64077637107988</v>
      </c>
      <c r="H27" s="38">
        <f xml:space="preserve"> IF(E27="XX", "XX", G27*$AB$3)</f>
        <v>28.319715375277518</v>
      </c>
      <c r="I27" s="38">
        <f>IF(E27="XX", "XX", G27*$AD$3)</f>
        <v>384.33875051168309</v>
      </c>
      <c r="J27" s="38">
        <f xml:space="preserve"> IF(E27="XX", "XX",G27*$AF$3)</f>
        <v>13.871516393765672</v>
      </c>
      <c r="K27" s="38">
        <f xml:space="preserve"> IF(E27="XX", "XX", ( $K$65 + $U$4 * (E27-$D$4)/$F$4 ) )</f>
        <v>19.159663865546218</v>
      </c>
      <c r="L27" s="33">
        <f xml:space="preserve"> IF(E27="XX", "XX", $L$65 - 0.00356*(E27-$E$65))</f>
        <v>-19.876840000000001</v>
      </c>
      <c r="M27" s="33">
        <f>IF(E27="XX","XX ", $M$65-0.00356*(E27-$E$65))</f>
        <v>-19.876840000000001</v>
      </c>
      <c r="N27" s="40">
        <f>IF(E27="XX","XX",100.45+33.193*AE27+2.319*AE27^2+0.17074*AE27^3+1.2063*(AD27*0.4897705)^3)</f>
        <v>-24.183477900822226</v>
      </c>
      <c r="O27" s="41">
        <f>IF(E27="XX","XX ",((1093-0.556*M27)*AA27-0.24*(L27-M27))/(1093+0.444*L27-M27))</f>
        <v>3.7164076815222885E-4</v>
      </c>
      <c r="P27" s="42">
        <f xml:space="preserve"> IF(E27="XX", "XX", ((O27/AF27)/(1-(1-(O27/AF27))*(AB27/J27)))*100)</f>
        <v>100</v>
      </c>
      <c r="Q27" s="480">
        <f xml:space="preserve"> IF(E27="XX", "XX", 0.7543*(T27*(1+1.6078*O27))/H27)</f>
        <v>11.721757755312593</v>
      </c>
      <c r="R27" s="489">
        <f xml:space="preserve"> IF(E27="XX", "XX", 1/Q27)</f>
        <v>8.5311437147451291E-2</v>
      </c>
      <c r="S27" s="57">
        <f>IF(E27="XX", "XX", 0.24*L27+O27*(1061+0.444*L27))</f>
        <v>-4.3794105925646862</v>
      </c>
      <c r="T27" s="44">
        <f>IF(E27="XX", "XX", L27+459.7)</f>
        <v>439.82315999999997</v>
      </c>
      <c r="U27" s="133">
        <f>IF(E27="XX", "XX", M27+459.7)</f>
        <v>439.82315999999997</v>
      </c>
      <c r="X27" s="147">
        <f t="shared" si="6"/>
        <v>18</v>
      </c>
      <c r="Y27" s="34">
        <f t="shared" si="7"/>
        <v>83</v>
      </c>
      <c r="Z27" s="41">
        <f xml:space="preserve"> IF(E27="XX", "XX", EXP((-10440.397/U27)+(-11.29465) + (-0.027022355*U27) + (0.00001289036*U27*U27) + (-0.0000000024780681*U27^3)+(6.5459673*LN(U27))) )</f>
        <v>8.2834537105941526E-3</v>
      </c>
      <c r="AA27" s="39">
        <f>IF(E27="XX", "XX", 0.62198*Z27/(J27-Z27))</f>
        <v>3.7164076815222885E-4</v>
      </c>
      <c r="AB27" s="41">
        <f xml:space="preserve"> IF(E27="XX", "XX", EXP((-10440.397/T27)+(-11.29465) + (-0.027022355*T27) + (0.00001289036*T27*T27) + (-0.0000000024780681*T27^3)+(6.5459673*LN(T27))) )</f>
        <v>8.2834537105941526E-3</v>
      </c>
      <c r="AC27" s="39">
        <f>IF(E27="XX", "XX", AB27*2.041772658 )</f>
        <v>1.6912929300099789E-2</v>
      </c>
      <c r="AD27" s="39">
        <f>IF(E27="XX", "XX", (H27*O27)/(0.62198+O27))</f>
        <v>1.6911276658530518E-2</v>
      </c>
      <c r="AE27" s="39">
        <f>IF(E27="XX", "XX", LN(AD27*0.4897705))</f>
        <v>-4.7935929866121194</v>
      </c>
      <c r="AF27" s="140">
        <f>IF(E27="XX", "XX", 0.62198*(AB27/(J27-AB27)))</f>
        <v>3.7164076815222885E-4</v>
      </c>
      <c r="AH27" s="473">
        <f xml:space="preserve"> IF(D27="XX", "XX", E27- $D$4)</f>
        <v>1089</v>
      </c>
      <c r="AI27" s="154">
        <f xml:space="preserve"> IF(D27="XX", "XX", $AN$3 * R27 * (T27-$T$7)/$T$7 * $AP$3 * ($H$4-AH27))</f>
        <v>0.12653169073182713</v>
      </c>
      <c r="AJ27" s="154">
        <f xml:space="preserve"> IF(D27="XX", "XX", $AR$3 * $AN$4^2 * $AR$4 * R27 * K27^2/2)</f>
        <v>2.117043224421313E-3</v>
      </c>
      <c r="AK27" s="154">
        <f xml:space="preserve"> IF(D27="XX", "XX", AI27 +AJ27)</f>
        <v>0.12864873395624843</v>
      </c>
      <c r="AL27" s="154">
        <f xml:space="preserve"> IF(D27="XX", "XX", AK27 +$AK$23)</f>
        <v>0.13364873395624843</v>
      </c>
      <c r="AM27" s="26">
        <f xml:space="preserve"> IF(D27="XX", "XX", 60 * ($AP$4 * $AN$23 * (2 * ABS(AL27)/R27)^0.5))</f>
        <v>1353.051950584904</v>
      </c>
      <c r="AN27" s="27" t="str">
        <f>IF(D27="XX", "XX", IF(AL27&lt;0, "Exfl", "Infl"))</f>
        <v>Infl</v>
      </c>
      <c r="AO27" s="26">
        <f t="shared" si="9"/>
        <v>-1353.051950584904</v>
      </c>
      <c r="AP27" s="474">
        <f>IF(D27="XX", "XX", AO27/$K$10)</f>
        <v>-0.16107761316486952</v>
      </c>
      <c r="AQ27" s="26">
        <f t="shared" si="10"/>
        <v>134259.2685816233</v>
      </c>
      <c r="AR27" s="392">
        <f xml:space="preserve"> IF(D27="XX", "XX", AO27 * 1.08 * 3000/1000)</f>
        <v>-4383.8883198950889</v>
      </c>
    </row>
    <row r="28" spans="2:44" ht="19.05" customHeight="1">
      <c r="B28" s="132">
        <f>'Input-Output'!AI15</f>
        <v>17</v>
      </c>
      <c r="C28" s="37">
        <f>'Input-Output'!AJ15</f>
        <v>15</v>
      </c>
      <c r="D28" s="605">
        <f>'Input-Output'!AK15</f>
        <v>73</v>
      </c>
      <c r="E28" s="45">
        <f>'Input-Output'!AL15</f>
        <v>1489</v>
      </c>
      <c r="F28" s="45">
        <f>'Input-Output'!AM15</f>
        <v>453.84720000000004</v>
      </c>
      <c r="G28" s="38">
        <f t="shared" si="8"/>
        <v>95.990705586392195</v>
      </c>
      <c r="H28" s="38">
        <f xml:space="preserve"> IF(E28="XX", "XX", G28*$AB$3)</f>
        <v>28.423331177607363</v>
      </c>
      <c r="I28" s="38">
        <f>IF(E28="XX", "XX", G28*$AD$3)</f>
        <v>385.74496407961618</v>
      </c>
      <c r="J28" s="38">
        <f xml:space="preserve"> IF(E28="XX", "XX",G28*$AF$3)</f>
        <v>13.922269315595049</v>
      </c>
      <c r="K28" s="38">
        <f xml:space="preserve"> IF(E28="XX", "XX", ( $K$65 + $U$4 * (E28-$D$4)/$F$4 ) )</f>
        <v>18.777692895339953</v>
      </c>
      <c r="L28" s="33">
        <f xml:space="preserve"> IF(E28="XX", "XX", $L$65 - 0.00356*(E28-$E$65))</f>
        <v>-19.52084</v>
      </c>
      <c r="M28" s="33">
        <f>IF(E28="XX","XX ", $M$65-0.00356*(E28-$E$65))</f>
        <v>-19.52084</v>
      </c>
      <c r="N28" s="40">
        <f>IF(E28="XX","XX",100.45+33.193*AE28+2.319*AE28^2+0.17074*AE28^3+1.2063*(AD28*0.4897705)^3)</f>
        <v>-23.7652752042152</v>
      </c>
      <c r="O28" s="41">
        <f>IF(E28="XX","XX ",((1093-0.556*M28)*AA28-0.24*(L28-M28))/(1093+0.444*L28-M28))</f>
        <v>3.7716579464171647E-4</v>
      </c>
      <c r="P28" s="42">
        <f xml:space="preserve"> IF(E28="XX", "XX", ((O28/AF28)/(1-(1-(O28/AF28))*(AB28/J28)))*100)</f>
        <v>100.00000000000003</v>
      </c>
      <c r="Q28" s="480">
        <f xml:space="preserve"> IF(E28="XX", "XX", 0.7543*(T28*(1+1.6078*O28))/H28)</f>
        <v>11.688583648017985</v>
      </c>
      <c r="R28" s="489">
        <f xml:space="preserve"> IF(E28="XX", "XX", 1/Q28)</f>
        <v>8.5553564923973355E-2</v>
      </c>
      <c r="S28" s="57">
        <f>IF(E28="XX", "XX", 0.24*L28+O28*(1061+0.444*L28))</f>
        <v>-4.2880976832351578</v>
      </c>
      <c r="T28" s="44">
        <f>IF(E28="XX", "XX", L28+459.7)</f>
        <v>440.17915999999997</v>
      </c>
      <c r="U28" s="133">
        <f>IF(E28="XX", "XX", M28+459.7)</f>
        <v>440.17915999999997</v>
      </c>
      <c r="X28" s="147">
        <f t="shared" si="6"/>
        <v>17</v>
      </c>
      <c r="Y28" s="34">
        <f t="shared" si="7"/>
        <v>73</v>
      </c>
      <c r="Z28" s="41">
        <f xml:space="preserve"> IF(E28="XX", "XX", EXP((-10440.397/U28)+(-11.29465) + (-0.027022355*U28) + (0.00001289036*U28*U28) + (-0.0000000024780681*U28^3)+(6.5459673*LN(U28))) )</f>
        <v>8.4372833771870753E-3</v>
      </c>
      <c r="AA28" s="39">
        <f>IF(E28="XX", "XX", 0.62198*Z28/(J28-Z28))</f>
        <v>3.7716579464171636E-4</v>
      </c>
      <c r="AB28" s="41">
        <f xml:space="preserve"> IF(E28="XX", "XX", EXP((-10440.397/T28)+(-11.29465) + (-0.027022355*T28) + (0.00001289036*T28*T28) + (-0.0000000024780681*T28^3)+(6.5459673*LN(T28))) )</f>
        <v>8.4372833771870753E-3</v>
      </c>
      <c r="AC28" s="39">
        <f>IF(E28="XX", "XX", AB28*2.041772658 )</f>
        <v>1.7227014507338472E-2</v>
      </c>
      <c r="AD28" s="39">
        <f>IF(E28="XX", "XX", (H28*O28)/(0.62198+O28))</f>
        <v>1.7225331175031926E-2</v>
      </c>
      <c r="AE28" s="39">
        <f>IF(E28="XX", "XX", LN(AD28*0.4897705))</f>
        <v>-4.7751926007929422</v>
      </c>
      <c r="AF28" s="140">
        <f>IF(E28="XX", "XX", 0.62198*(AB28/(J28-AB28)))</f>
        <v>3.7716579464171636E-4</v>
      </c>
      <c r="AH28" s="473">
        <f xml:space="preserve"> IF(D28="XX", "XX", E28- $D$4)</f>
        <v>989</v>
      </c>
      <c r="AI28" s="154">
        <f xml:space="preserve"> IF(D28="XX", "XX", $AN$3 * R28 * (T28-$T$7)/$T$7 * $AP$3 * ($H$4-AH28))</f>
        <v>9.7320395737136453E-2</v>
      </c>
      <c r="AJ28" s="154">
        <f xml:space="preserve"> IF(D28="XX", "XX", $AR$3 * $AN$4^2 * $AR$4 * R28 * K28^2/2)</f>
        <v>2.0392443643870209E-3</v>
      </c>
      <c r="AK28" s="154">
        <f xml:space="preserve"> IF(D28="XX", "XX", AI28 +AJ28)</f>
        <v>9.9359640101523469E-2</v>
      </c>
      <c r="AL28" s="154">
        <f xml:space="preserve"> IF(D28="XX", "XX", AK28 +$AK$23)</f>
        <v>0.10435964010152347</v>
      </c>
      <c r="AM28" s="26">
        <f xml:space="preserve"> IF(D28="XX", "XX", 60 * ($AP$4 * $AN$23 * (2 * ABS(AL28)/R28)^0.5))</f>
        <v>1193.9411127193707</v>
      </c>
      <c r="AN28" s="27" t="str">
        <f>IF(D28="XX", "XX", IF(AL28&lt;0, "Exfl", "Infl"))</f>
        <v>Infl</v>
      </c>
      <c r="AO28" s="26">
        <f t="shared" si="9"/>
        <v>-1193.9411127193707</v>
      </c>
      <c r="AP28" s="474">
        <f>IF(D28="XX", "XX", AO28/$K$10)</f>
        <v>-0.14213584675230603</v>
      </c>
      <c r="AQ28" s="26">
        <f t="shared" si="10"/>
        <v>118012.13303034041</v>
      </c>
      <c r="AR28" s="392">
        <f xml:space="preserve"> IF(D28="XX", "XX", AO28 * 1.08 * 3000/1000)</f>
        <v>-3868.3692052107617</v>
      </c>
    </row>
    <row r="29" spans="2:44" ht="19.05" customHeight="1" thickBot="1">
      <c r="B29" s="120">
        <f>'Input-Output'!AI16</f>
        <v>16</v>
      </c>
      <c r="C29" s="121">
        <f>'Input-Output'!AJ16</f>
        <v>5</v>
      </c>
      <c r="D29" s="604">
        <f>'Input-Output'!AK16</f>
        <v>63</v>
      </c>
      <c r="E29" s="122">
        <f>'Input-Output'!AL16</f>
        <v>1389</v>
      </c>
      <c r="F29" s="122">
        <f>'Input-Output'!AM16</f>
        <v>423.36720000000003</v>
      </c>
      <c r="G29" s="103">
        <f t="shared" si="8"/>
        <v>96.341670782569636</v>
      </c>
      <c r="H29" s="103">
        <f xml:space="preserve"> IF(E29="XX", "XX", G29*$AB$3)</f>
        <v>28.527253739086895</v>
      </c>
      <c r="I29" s="103">
        <f>IF(E29="XX", "XX", G29*$AD$3)</f>
        <v>387.15534080479631</v>
      </c>
      <c r="J29" s="103">
        <f xml:space="preserve"> IF(E29="XX", "XX",G29*$AF$3)</f>
        <v>13.973172493686446</v>
      </c>
      <c r="K29" s="103">
        <f xml:space="preserve"> IF(E29="XX", "XX", ( $K$65 + $U$4 * (E29-$D$4)/$F$4 ) )</f>
        <v>18.395721925133689</v>
      </c>
      <c r="L29" s="123">
        <f xml:space="preserve"> IF(E29="XX", "XX", $L$65 - 0.00356*(E29-$E$65))</f>
        <v>-19.164839999999998</v>
      </c>
      <c r="M29" s="123">
        <f>IF(E29="XX","XX ", $M$65-0.00356*(E29-$E$65))</f>
        <v>-19.164839999999998</v>
      </c>
      <c r="N29" s="124">
        <f>IF(E29="XX","XX",100.45+33.193*AE29+2.319*AE29^2+0.17074*AE29^3+1.2063*(AD29*0.4897705)^3)</f>
        <v>-23.347905358622356</v>
      </c>
      <c r="O29" s="125">
        <f>IF(E29="XX","XX ",((1093-0.556*M29)*AA29-0.24*(L29-M29))/(1093+0.444*L29-M29))</f>
        <v>3.8276139110429973E-4</v>
      </c>
      <c r="P29" s="126">
        <f xml:space="preserve"> IF(E29="XX", "XX", ((O29/AF29)/(1-(1-(O29/AF29))*(AB29/J29)))*100)</f>
        <v>100.00000000000003</v>
      </c>
      <c r="Q29" s="479">
        <f xml:space="preserve"> IF(E29="XX", "XX", 0.7543*(T29*(1+1.6078*O29))/H29)</f>
        <v>11.655526684625686</v>
      </c>
      <c r="R29" s="487">
        <f xml:space="preserve"> IF(E29="XX", "XX", 1/Q29)</f>
        <v>8.5796208704927754E-2</v>
      </c>
      <c r="S29" s="129">
        <f>IF(E29="XX", "XX", 0.24*L29+O29*(1061+0.444*L29))</f>
        <v>-4.1967087530418361</v>
      </c>
      <c r="T29" s="130">
        <f>IF(E29="XX", "XX", L29+459.7)</f>
        <v>440.53516000000002</v>
      </c>
      <c r="U29" s="131">
        <f>IF(E29="XX", "XX", M29+459.7)</f>
        <v>440.53516000000002</v>
      </c>
      <c r="X29" s="148">
        <f t="shared" si="6"/>
        <v>16</v>
      </c>
      <c r="Y29" s="128">
        <f t="shared" si="7"/>
        <v>63</v>
      </c>
      <c r="Z29" s="125">
        <f xml:space="preserve"> IF(E29="XX", "XX", EXP((-10440.397/U29)+(-11.29465) + (-0.027022355*U29) + (0.00001289036*U29*U29) + (-0.0000000024780681*U29^3)+(6.5459673*LN(U29))) )</f>
        <v>8.5936872731090866E-3</v>
      </c>
      <c r="AA29" s="142">
        <f>IF(E29="XX", "XX", 0.62198*Z29/(J29-Z29))</f>
        <v>3.8276139110429963E-4</v>
      </c>
      <c r="AB29" s="125">
        <f xml:space="preserve"> IF(E29="XX", "XX", EXP((-10440.397/T29)+(-11.29465) + (-0.027022355*T29) + (0.00001289036*T29*T29) + (-0.0000000024780681*T29^3)+(6.5459673*LN(T29))) )</f>
        <v>8.5936872731090866E-3</v>
      </c>
      <c r="AC29" s="142">
        <f>IF(E29="XX", "XX", AB29*2.041772658 )</f>
        <v>1.7546355705636712E-2</v>
      </c>
      <c r="AD29" s="142">
        <f>IF(E29="XX", "XX", (H29*O29)/(0.62198+O29))</f>
        <v>1.7544641169005372E-2</v>
      </c>
      <c r="AE29" s="142">
        <f>IF(E29="XX", "XX", LN(AD29*0.4897705))</f>
        <v>-4.7568250871360656</v>
      </c>
      <c r="AF29" s="149">
        <f>IF(E29="XX", "XX", 0.62198*(AB29/(J29-AB29)))</f>
        <v>3.8276139110429963E-4</v>
      </c>
      <c r="AH29" s="475">
        <f xml:space="preserve"> IF(D29="XX", "XX", E29- $D$4)</f>
        <v>889</v>
      </c>
      <c r="AI29" s="1">
        <f xml:space="preserve"> IF(D29="XX", "XX", $AN$3 * R29 * (T29-$T$7)/$T$7 * $AP$3 * ($H$4-AH29))</f>
        <v>6.8161914101270885E-2</v>
      </c>
      <c r="AJ29" s="1">
        <f xml:space="preserve"> IF(D29="XX", "XX", $AR$3 * $AN$4^2 * $AR$4 * R29 * K29^2/2)</f>
        <v>1.9626753363364926E-3</v>
      </c>
      <c r="AK29" s="1">
        <f xml:space="preserve"> IF(D29="XX", "XX", AI29 +AJ29)</f>
        <v>7.0124589437607382E-2</v>
      </c>
      <c r="AL29" s="1">
        <f xml:space="preserve"> IF(D29="XX", "XX", AK29 +$AK$23)</f>
        <v>7.5124589437607386E-2</v>
      </c>
      <c r="AM29" s="28">
        <f xml:space="preserve"> IF(D29="XX", "XX", 60 * ($AP$4 * $AN$23 * (2 * ABS(AL29)/R29)^0.5))</f>
        <v>1011.562412451962</v>
      </c>
      <c r="AN29" s="29" t="str">
        <f>IF(D29="XX", "XX", IF(AL29&lt;0, "Exfl", "Infl"))</f>
        <v>Infl</v>
      </c>
      <c r="AO29" s="28">
        <f t="shared" si="9"/>
        <v>-1011.562412451962</v>
      </c>
      <c r="AP29" s="476">
        <f>IF(D29="XX", "XX", AO29/$K$10)</f>
        <v>-0.12042409672047166</v>
      </c>
      <c r="AQ29" s="28">
        <f t="shared" si="10"/>
        <v>99596.439519692896</v>
      </c>
      <c r="AR29" s="397">
        <f xml:space="preserve"> IF(D29="XX", "XX", AO29 * 1.08 * 3000/1000)</f>
        <v>-3277.4622163443569</v>
      </c>
    </row>
    <row r="30" spans="2:44" ht="19.05" customHeight="1">
      <c r="B30" s="13"/>
      <c r="C30" s="13"/>
      <c r="D30" s="13"/>
      <c r="E30" s="13"/>
      <c r="F30" s="23"/>
      <c r="G30" s="14"/>
      <c r="H30" s="14"/>
      <c r="I30" s="14"/>
      <c r="J30" s="14"/>
      <c r="K30" s="14"/>
      <c r="L30" s="9"/>
      <c r="M30" s="9"/>
      <c r="N30" s="18"/>
      <c r="O30" s="19"/>
      <c r="P30" s="20"/>
      <c r="Q30" s="436"/>
      <c r="R30" s="482"/>
      <c r="S30" s="56"/>
      <c r="T30" s="22"/>
      <c r="U30" s="22"/>
      <c r="Z30" s="19"/>
      <c r="AA30" s="15"/>
      <c r="AB30" s="19"/>
      <c r="AC30" s="15"/>
      <c r="AD30" s="15"/>
      <c r="AE30" s="15"/>
      <c r="AF30" s="19"/>
      <c r="AH30" s="58"/>
      <c r="AI30" s="151"/>
      <c r="AJ30" s="151"/>
      <c r="AK30" s="151"/>
      <c r="AL30" s="151"/>
      <c r="AM30" s="153"/>
      <c r="AN30" s="16"/>
      <c r="AO30" s="153"/>
      <c r="AP30" s="152"/>
      <c r="AQ30" s="153"/>
      <c r="AR30" s="153"/>
    </row>
    <row r="31" spans="2:44" ht="19.05" customHeight="1" thickBot="1">
      <c r="B31" s="66">
        <f>'Input-Output'!AK17</f>
        <v>5</v>
      </c>
      <c r="E31" s="13" t="s">
        <v>121</v>
      </c>
      <c r="F31" s="23"/>
      <c r="G31" s="115">
        <f>'Input-Output'!AD22</f>
        <v>5</v>
      </c>
      <c r="H31" s="435" t="s">
        <v>122</v>
      </c>
      <c r="I31" s="436"/>
      <c r="J31" s="436"/>
      <c r="K31" s="116">
        <f>'Input-Output'!AD32</f>
        <v>9600</v>
      </c>
      <c r="X31" s="75">
        <f t="shared" ref="X31:X36" si="11">B31</f>
        <v>5</v>
      </c>
      <c r="Z31" s="61" t="s">
        <v>125</v>
      </c>
      <c r="AA31" s="56"/>
      <c r="AB31" s="117">
        <f>'Input-Output'!AD24</f>
        <v>0.3</v>
      </c>
      <c r="AC31" s="62" t="s">
        <v>123</v>
      </c>
      <c r="AD31" s="19"/>
      <c r="AE31" s="117">
        <f>'Input-Output'!AD25</f>
        <v>0.6</v>
      </c>
      <c r="AH31" s="68" t="s">
        <v>124</v>
      </c>
      <c r="AK31" s="118">
        <f>'Input-Output'!AD26</f>
        <v>5.0000000000000001E-3</v>
      </c>
      <c r="AL31" s="150" t="s">
        <v>141</v>
      </c>
      <c r="AM31" s="151"/>
      <c r="AN31" s="155">
        <f>'Input-Output'!AD33</f>
        <v>28.8</v>
      </c>
      <c r="AO31" s="180" t="s">
        <v>228</v>
      </c>
      <c r="AP31" s="152"/>
      <c r="AR31" s="155">
        <f>SUM(AR34:AR36)</f>
        <v>-11952.317948320846</v>
      </c>
    </row>
    <row r="32" spans="2:44" ht="19.05" customHeight="1">
      <c r="B32" s="162" t="s">
        <v>58</v>
      </c>
      <c r="C32" s="168" t="s">
        <v>118</v>
      </c>
      <c r="D32" s="163" t="s">
        <v>117</v>
      </c>
      <c r="E32" s="169" t="s">
        <v>66</v>
      </c>
      <c r="F32" s="163"/>
      <c r="G32" s="170" t="s">
        <v>57</v>
      </c>
      <c r="H32" s="171"/>
      <c r="I32" s="171"/>
      <c r="J32" s="171"/>
      <c r="K32" s="171" t="s">
        <v>60</v>
      </c>
      <c r="L32" s="172" t="s">
        <v>20</v>
      </c>
      <c r="M32" s="172" t="s">
        <v>21</v>
      </c>
      <c r="N32" s="172" t="s">
        <v>36</v>
      </c>
      <c r="O32" s="145" t="s">
        <v>40</v>
      </c>
      <c r="P32" s="145" t="s">
        <v>37</v>
      </c>
      <c r="Q32" s="171" t="s">
        <v>38</v>
      </c>
      <c r="R32" s="485" t="s">
        <v>39</v>
      </c>
      <c r="S32" s="145" t="s">
        <v>41</v>
      </c>
      <c r="T32" s="145" t="s">
        <v>42</v>
      </c>
      <c r="U32" s="146" t="s">
        <v>43</v>
      </c>
      <c r="X32" s="166" t="str">
        <f t="shared" si="11"/>
        <v>Level</v>
      </c>
      <c r="Y32" s="163" t="str">
        <f>D32</f>
        <v>Bldg</v>
      </c>
      <c r="Z32" s="164" t="s">
        <v>142</v>
      </c>
      <c r="AA32" s="145"/>
      <c r="AB32" s="145"/>
      <c r="AC32" s="145"/>
      <c r="AD32" s="145"/>
      <c r="AE32" s="145"/>
      <c r="AF32" s="146"/>
      <c r="AH32" s="465" t="s">
        <v>76</v>
      </c>
      <c r="AI32" s="466" t="s">
        <v>68</v>
      </c>
      <c r="AJ32" s="466" t="s">
        <v>71</v>
      </c>
      <c r="AK32" s="466" t="s">
        <v>72</v>
      </c>
      <c r="AL32" s="466" t="s">
        <v>73</v>
      </c>
      <c r="AM32" s="467" t="s">
        <v>74</v>
      </c>
      <c r="AN32" s="468" t="s">
        <v>77</v>
      </c>
      <c r="AO32" s="467" t="s">
        <v>79</v>
      </c>
      <c r="AP32" s="469" t="s">
        <v>80</v>
      </c>
      <c r="AQ32" s="467" t="s">
        <v>225</v>
      </c>
      <c r="AR32" s="470" t="s">
        <v>226</v>
      </c>
    </row>
    <row r="33" spans="2:44" ht="19.05" customHeight="1">
      <c r="B33" s="173" t="s">
        <v>31</v>
      </c>
      <c r="C33" s="174" t="s">
        <v>59</v>
      </c>
      <c r="D33" s="174" t="s">
        <v>59</v>
      </c>
      <c r="E33" s="175" t="s">
        <v>14</v>
      </c>
      <c r="F33" s="175" t="s">
        <v>15</v>
      </c>
      <c r="G33" s="176" t="s">
        <v>18</v>
      </c>
      <c r="H33" s="176" t="s">
        <v>17</v>
      </c>
      <c r="I33" s="176" t="s">
        <v>19</v>
      </c>
      <c r="J33" s="176" t="s">
        <v>16</v>
      </c>
      <c r="K33" s="176" t="s">
        <v>61</v>
      </c>
      <c r="L33" s="177" t="s">
        <v>44</v>
      </c>
      <c r="M33" s="177" t="s">
        <v>44</v>
      </c>
      <c r="N33" s="177" t="s">
        <v>44</v>
      </c>
      <c r="O33" s="174" t="s">
        <v>47</v>
      </c>
      <c r="P33" s="174" t="s">
        <v>45</v>
      </c>
      <c r="Q33" s="176" t="s">
        <v>46</v>
      </c>
      <c r="R33" s="486" t="s">
        <v>22</v>
      </c>
      <c r="S33" s="174" t="s">
        <v>48</v>
      </c>
      <c r="T33" s="174" t="s">
        <v>49</v>
      </c>
      <c r="U33" s="178" t="s">
        <v>49</v>
      </c>
      <c r="X33" s="167" t="str">
        <f t="shared" si="11"/>
        <v>ID No.</v>
      </c>
      <c r="Y33" s="72" t="str">
        <f>D33</f>
        <v>Flr No.</v>
      </c>
      <c r="Z33" s="73" t="s">
        <v>50</v>
      </c>
      <c r="AA33" s="73" t="s">
        <v>51</v>
      </c>
      <c r="AB33" s="73" t="s">
        <v>52</v>
      </c>
      <c r="AC33" s="73" t="s">
        <v>53</v>
      </c>
      <c r="AD33" s="73" t="s">
        <v>54</v>
      </c>
      <c r="AE33" s="73" t="s">
        <v>55</v>
      </c>
      <c r="AF33" s="74" t="s">
        <v>56</v>
      </c>
      <c r="AH33" s="471" t="s">
        <v>140</v>
      </c>
      <c r="AI33" s="159" t="s">
        <v>19</v>
      </c>
      <c r="AJ33" s="159" t="s">
        <v>19</v>
      </c>
      <c r="AK33" s="160" t="s">
        <v>86</v>
      </c>
      <c r="AL33" s="161" t="s">
        <v>87</v>
      </c>
      <c r="AM33" s="158" t="s">
        <v>75</v>
      </c>
      <c r="AN33" s="157" t="s">
        <v>78</v>
      </c>
      <c r="AO33" s="158" t="s">
        <v>75</v>
      </c>
      <c r="AP33" s="160" t="s">
        <v>81</v>
      </c>
      <c r="AQ33" s="158" t="s">
        <v>204</v>
      </c>
      <c r="AR33" s="472" t="s">
        <v>227</v>
      </c>
    </row>
    <row r="34" spans="2:44" ht="19.05" customHeight="1">
      <c r="B34" s="134">
        <f>'Input-Output'!AI18</f>
        <v>15</v>
      </c>
      <c r="C34" s="36">
        <f>'Input-Output'!AJ18</f>
        <v>5</v>
      </c>
      <c r="D34" s="36">
        <f>'Input-Output'!AK18</f>
        <v>58</v>
      </c>
      <c r="E34" s="36">
        <f>'Input-Output'!AL18</f>
        <v>1339</v>
      </c>
      <c r="F34" s="36">
        <f>'Input-Output'!AM18</f>
        <v>408.12720000000002</v>
      </c>
      <c r="G34" s="38">
        <f t="shared" ref="G34:G36" si="12">IF(E34="XX","XX",((101325*(1-2.25577*(10^(-5))*F34)^5.2555)/1000))</f>
        <v>96.51754260605999</v>
      </c>
      <c r="H34" s="38">
        <f xml:space="preserve"> IF(E34="XX", "XX", G34*$AB$3)</f>
        <v>28.57933027142759</v>
      </c>
      <c r="I34" s="38">
        <f>IF(E34="XX", "XX", G34*$AD$3)</f>
        <v>387.86209329526366</v>
      </c>
      <c r="J34" s="38">
        <f xml:space="preserve"> IF(E34="XX", "XX",G34*$AF$3)</f>
        <v>13.998680535081702</v>
      </c>
      <c r="K34" s="38">
        <f xml:space="preserve"> IF(E34="XX", "XX", ( $K$65 + $U$4 * (E34-$D$4)/$F$4 ) )</f>
        <v>18.204736440030558</v>
      </c>
      <c r="L34" s="33">
        <f xml:space="preserve"> IF(E34="XX", "XX", $L$65 - 0.00356*(E34-$E$65))</f>
        <v>-18.986840000000001</v>
      </c>
      <c r="M34" s="33">
        <f>IF(E34="XX","XX ", $M$65-0.00356*(E34-$E$65))</f>
        <v>-18.986840000000001</v>
      </c>
      <c r="N34" s="40">
        <f>IF(E34="XX","XX",100.45+33.193*AE34+2.319*AE34^2+0.17074*AE34^3+1.2063*(AD34*0.4897705)^3)</f>
        <v>-23.139530051871454</v>
      </c>
      <c r="O34" s="41">
        <f>IF(E34="XX","XX ",((1093-0.556*M34)*AA34-0.24*(L34-M34))/(1093+0.444*L34-M34))</f>
        <v>3.8558588315103443E-4</v>
      </c>
      <c r="P34" s="42">
        <f xml:space="preserve"> IF(E34="XX", "XX", ((O34/AF34)/(1-(1-(O34/AF34))*(AB34/J34)))*100)</f>
        <v>100</v>
      </c>
      <c r="Q34" s="480">
        <f xml:space="preserve"> IF(E34="XX", "XX", 0.7543*(T34*(1+1.6078*O34))/H34)</f>
        <v>11.63904198244698</v>
      </c>
      <c r="R34" s="489">
        <f xml:space="preserve"> IF(E34="XX", "XX", 1/Q34)</f>
        <v>8.5917724285909061E-2</v>
      </c>
      <c r="S34" s="57">
        <f>IF(E34="XX", "XX", 0.24*L34+O34*(1061+0.444*L34))</f>
        <v>-4.1509855274932761</v>
      </c>
      <c r="T34" s="44">
        <f>IF(E34="XX", "XX", L34+459.7)</f>
        <v>440.71316000000002</v>
      </c>
      <c r="U34" s="133">
        <f>IF(E34="XX", "XX", M34+459.7)</f>
        <v>440.71316000000002</v>
      </c>
      <c r="X34" s="147">
        <f t="shared" si="11"/>
        <v>15</v>
      </c>
      <c r="Y34" s="34">
        <f>D34</f>
        <v>58</v>
      </c>
      <c r="Z34" s="41">
        <f xml:space="preserve"> IF(E34="XX", "XX", EXP((-10440.397/U34)+(-11.29465) + (-0.027022355*U34) + (0.00001289036*U34*U34) + (-0.0000000024780681*U34^3)+(6.5459673*LN(U34))) )</f>
        <v>8.6728664301211674E-3</v>
      </c>
      <c r="AA34" s="39">
        <f>IF(E34="XX", "XX", 0.62198*Z34/(J34-Z34))</f>
        <v>3.8558588315103443E-4</v>
      </c>
      <c r="AB34" s="41">
        <f xml:space="preserve"> IF(E34="XX", "XX", EXP((-10440.397/T34)+(-11.29465) + (-0.027022355*T34) + (0.00001289036*T34*T34) + (-0.0000000024780681*T34^3)+(6.5459673*LN(T34))) )</f>
        <v>8.6728664301211674E-3</v>
      </c>
      <c r="AC34" s="39">
        <f>IF(E34="XX", "XX", AB34*2.041772658 )</f>
        <v>1.7708021543507469E-2</v>
      </c>
      <c r="AD34" s="39">
        <f>IF(E34="XX", "XX", (H34*O34)/(0.62198+O34))</f>
        <v>1.7706291209749602E-2</v>
      </c>
      <c r="AE34" s="39">
        <f>IF(E34="XX", "XX", LN(AD34*0.4897705))</f>
        <v>-4.7476536319181912</v>
      </c>
      <c r="AF34" s="140">
        <f>IF(E34="XX", "XX", 0.62198*(AB34/(J34-AB34)))</f>
        <v>3.8558588315103443E-4</v>
      </c>
      <c r="AH34" s="473">
        <f xml:space="preserve"> IF(D34="XX", "XX", E34- $D$4)</f>
        <v>839</v>
      </c>
      <c r="AI34" s="154">
        <f xml:space="preserve"> IF(D34="XX", "XX", $AN$3 * R34 * (T34-$T$7)/$T$7 * $AP$3 * ($H$4-AH34))</f>
        <v>5.3602894860607375E-2</v>
      </c>
      <c r="AJ34" s="154">
        <f xml:space="preserve"> IF(D34="XX", "XX", $AR$3 * $AN$4^2 * $AR$4 * R34 * K34^2/2)</f>
        <v>1.924856034037256E-3</v>
      </c>
      <c r="AK34" s="154">
        <f xml:space="preserve"> IF(D34="XX", "XX", AI34 +AJ34)</f>
        <v>5.552775089464463E-2</v>
      </c>
      <c r="AL34" s="154">
        <f xml:space="preserve"> IF(D34="XX", "XX", AK34 +$AK$31)</f>
        <v>6.0527750894644627E-2</v>
      </c>
      <c r="AM34" s="26">
        <f xml:space="preserve"> IF(D34="XX", "XX", 60 * ($AP$4 * $AN$31 * (2 * ABS(AL34)/R34)^0.5))</f>
        <v>1333.2389050764132</v>
      </c>
      <c r="AN34" s="27" t="str">
        <f>IF(D34="XX", "XX", IF(AL34&lt;0, "Exfl", "Infl"))</f>
        <v>Infl</v>
      </c>
      <c r="AO34" s="26">
        <f t="shared" ref="AO34:AO36" si="13" xml:space="preserve"> IF(AN34="Infl", -AM34, AM34)</f>
        <v>-1333.2389050764132</v>
      </c>
      <c r="AP34" s="474">
        <f>IF(D34="XX", "XX", AO34/$K$10)</f>
        <v>-0.15871891727100157</v>
      </c>
      <c r="AQ34" s="26">
        <f t="shared" ref="AQ34:AQ36" si="14">IF(D34="XX", "XX", AO34*1.08*(L34-$L$8))</f>
        <v>131011.77053299981</v>
      </c>
      <c r="AR34" s="392">
        <f xml:space="preserve"> IF(D34="XX", "XX", AO34 * 1.08 * 3000/1000)</f>
        <v>-4319.6940524475785</v>
      </c>
    </row>
    <row r="35" spans="2:44" ht="19.05" customHeight="1">
      <c r="B35" s="134">
        <f>'Input-Output'!AI19</f>
        <v>14</v>
      </c>
      <c r="C35" s="36">
        <f>'Input-Output'!AJ19</f>
        <v>3</v>
      </c>
      <c r="D35" s="36">
        <f>'Input-Output'!AK19</f>
        <v>56</v>
      </c>
      <c r="E35" s="36">
        <f>'Input-Output'!AL19</f>
        <v>1309</v>
      </c>
      <c r="F35" s="36">
        <f>'Input-Output'!AM19</f>
        <v>398.98320000000001</v>
      </c>
      <c r="G35" s="38">
        <f t="shared" si="12"/>
        <v>96.623190421253597</v>
      </c>
      <c r="H35" s="38">
        <f xml:space="preserve"> IF(E35="XX", "XX", G35*$AB$3)</f>
        <v>28.610613121377433</v>
      </c>
      <c r="I35" s="38">
        <f>IF(E35="XX", "XX", G35*$AD$3)</f>
        <v>388.28664598948541</v>
      </c>
      <c r="J35" s="38">
        <f xml:space="preserve"> IF(E35="XX", "XX",G35*$AF$3)</f>
        <v>14.014003449177856</v>
      </c>
      <c r="K35" s="38">
        <f xml:space="preserve"> IF(E35="XX", "XX", ( $K$65 + $U$4 * (E35-$D$4)/$F$4 ) )</f>
        <v>18.090145148968677</v>
      </c>
      <c r="L35" s="33">
        <f xml:space="preserve"> IF(E35="XX", "XX", $L$65 - 0.00356*(E35-$E$65))</f>
        <v>-18.880040000000001</v>
      </c>
      <c r="M35" s="33">
        <f>IF(E35="XX","XX ", $M$65-0.00356*(E35-$E$65))</f>
        <v>-18.880040000000001</v>
      </c>
      <c r="N35" s="40">
        <f>IF(E35="XX","XX",100.45+33.193*AE35+2.319*AE35^2+0.17074*AE35^3+1.2063*(AD35*0.4897705)^3)</f>
        <v>-23.014603326001716</v>
      </c>
      <c r="O35" s="41">
        <f>IF(E35="XX","XX ",((1093-0.556*M35)*AA35-0.24*(L35-M35))/(1093+0.444*L35-M35))</f>
        <v>3.8728917369509587E-4</v>
      </c>
      <c r="P35" s="42">
        <f xml:space="preserve"> IF(E35="XX", "XX", ((O35/AF35)/(1-(1-(O35/AF35))*(AB35/J35)))*100)</f>
        <v>100</v>
      </c>
      <c r="Q35" s="480">
        <f xml:space="preserve"> IF(E35="XX", "XX", 0.7543*(T35*(1+1.6078*O35))/H35)</f>
        <v>11.629165136270894</v>
      </c>
      <c r="R35" s="489">
        <f xml:space="preserve"> IF(E35="XX", "XX", 1/Q35)</f>
        <v>8.5990695658886174E-2</v>
      </c>
      <c r="S35" s="57">
        <f>IF(E35="XX", "XX", 0.24*L35+O35*(1061+0.444*L35))</f>
        <v>-4.1235423302898768</v>
      </c>
      <c r="T35" s="44">
        <f>IF(E35="XX", "XX", L35+459.7)</f>
        <v>440.81995999999998</v>
      </c>
      <c r="U35" s="133">
        <f>IF(E35="XX", "XX", M35+459.7)</f>
        <v>440.81995999999998</v>
      </c>
      <c r="X35" s="147">
        <f t="shared" si="11"/>
        <v>14</v>
      </c>
      <c r="Y35" s="34">
        <f>D35</f>
        <v>56</v>
      </c>
      <c r="Z35" s="41">
        <f xml:space="preserve"> IF(E35="XX", "XX", EXP((-10440.397/U35)+(-11.29465) + (-0.027022355*U35) + (0.00001289036*U35*U35) + (-0.0000000024780681*U35^3)+(6.5459673*LN(U35))) )</f>
        <v>8.7206893909836814E-3</v>
      </c>
      <c r="AA35" s="39">
        <f>IF(E35="XX", "XX", 0.62198*Z35/(J35-Z35))</f>
        <v>3.8728917369509587E-4</v>
      </c>
      <c r="AB35" s="41">
        <f xml:space="preserve"> IF(E35="XX", "XX", EXP((-10440.397/T35)+(-11.29465) + (-0.027022355*T35) + (0.00001289036*T35*T35) + (-0.0000000024780681*T35^3)+(6.5459673*LN(T35))) )</f>
        <v>8.7206893909836814E-3</v>
      </c>
      <c r="AC35" s="39">
        <f>IF(E35="XX", "XX", AB35*2.041772658 )</f>
        <v>1.7805665157421154E-2</v>
      </c>
      <c r="AD35" s="39">
        <f>IF(E35="XX", "XX", (H35*O35)/(0.62198+O35))</f>
        <v>1.7803925282448254E-2</v>
      </c>
      <c r="AE35" s="39">
        <f>IF(E35="XX", "XX", LN(AD35*0.4897705))</f>
        <v>-4.7421546894521791</v>
      </c>
      <c r="AF35" s="140">
        <f>IF(E35="XX", "XX", 0.62198*(AB35/(J35-AB35)))</f>
        <v>3.8728917369509587E-4</v>
      </c>
      <c r="AH35" s="473">
        <f xml:space="preserve"> IF(D35="XX", "XX", E35- $D$4)</f>
        <v>809</v>
      </c>
      <c r="AI35" s="154">
        <f xml:space="preserve"> IF(D35="XX", "XX", $AN$3 * R35 * (T35-$T$7)/$T$7 * $AP$3 * ($H$4-AH35))</f>
        <v>4.4874050556377776E-2</v>
      </c>
      <c r="AJ35" s="154">
        <f xml:space="preserve"> IF(D35="XX", "XX", $AR$3 * $AN$4^2 * $AR$4 * R35 * K35^2/2)</f>
        <v>1.9023142506703599E-3</v>
      </c>
      <c r="AK35" s="154">
        <f xml:space="preserve"> IF(D35="XX", "XX", AI35 +AJ35)</f>
        <v>4.6776364807048137E-2</v>
      </c>
      <c r="AL35" s="154">
        <f xml:space="preserve"> IF(D35="XX", "XX", AK35 +$AK$31)</f>
        <v>5.1776364807048135E-2</v>
      </c>
      <c r="AM35" s="26">
        <f xml:space="preserve"> IF(D35="XX", "XX", 60 * ($AP$4 * $AN$31 * (2 * ABS(AL35)/R35)^0.5))</f>
        <v>1232.5715500356696</v>
      </c>
      <c r="AN35" s="27" t="str">
        <f>IF(D35="XX", "XX", IF(AL35&lt;0, "Exfl", "Infl"))</f>
        <v>Infl</v>
      </c>
      <c r="AO35" s="26">
        <f t="shared" si="13"/>
        <v>-1232.5715500356696</v>
      </c>
      <c r="AP35" s="474">
        <f>IF(D35="XX", "XX", AO35/$K$10)</f>
        <v>-0.14673470833757971</v>
      </c>
      <c r="AQ35" s="26">
        <f t="shared" si="14"/>
        <v>120977.44391171196</v>
      </c>
      <c r="AR35" s="392">
        <f xml:space="preserve"> IF(D35="XX", "XX", AO35 * 1.08 * 3000/1000)</f>
        <v>-3993.5318221155694</v>
      </c>
    </row>
    <row r="36" spans="2:44" ht="19.05" customHeight="1" thickBot="1">
      <c r="B36" s="135">
        <f>'Input-Output'!AI20</f>
        <v>13</v>
      </c>
      <c r="C36" s="102">
        <f>'Input-Output'!AJ20</f>
        <v>1</v>
      </c>
      <c r="D36" s="102">
        <f>'Input-Output'!AK20</f>
        <v>54</v>
      </c>
      <c r="E36" s="102">
        <f>'Input-Output'!AL20</f>
        <v>1279</v>
      </c>
      <c r="F36" s="102">
        <f>'Input-Output'!AM20</f>
        <v>389.83920000000001</v>
      </c>
      <c r="G36" s="103">
        <f t="shared" si="12"/>
        <v>96.728931854780527</v>
      </c>
      <c r="H36" s="103">
        <f xml:space="preserve"> IF(E36="XX", "XX", G36*$AB$3)</f>
        <v>28.641923692187081</v>
      </c>
      <c r="I36" s="103">
        <f>IF(E36="XX", "XX", G36*$AD$3)</f>
        <v>388.71157489513723</v>
      </c>
      <c r="J36" s="103">
        <f xml:space="preserve"> IF(E36="XX", "XX",G36*$AF$3)</f>
        <v>14.029339941459957</v>
      </c>
      <c r="K36" s="103">
        <f xml:space="preserve"> IF(E36="XX", "XX", ( $K$65 + $U$4 * (E36-$D$4)/$F$4 ) )</f>
        <v>17.975553857906799</v>
      </c>
      <c r="L36" s="123">
        <f xml:space="preserve"> IF(E36="XX", "XX", $L$65 - 0.00356*(E36-$E$65))</f>
        <v>-18.773240000000001</v>
      </c>
      <c r="M36" s="123">
        <f>IF(E36="XX","XX ", $M$65-0.00356*(E36-$E$65))</f>
        <v>-18.773240000000001</v>
      </c>
      <c r="N36" s="124">
        <f>IF(E36="XX","XX",100.45+33.193*AE36+2.319*AE36^2+0.17074*AE36^3+1.2063*(AD36*0.4897705)^3)</f>
        <v>-22.88975016139263</v>
      </c>
      <c r="O36" s="125">
        <f>IF(E36="XX","XX ",((1093-0.556*M36)*AA36-0.24*(L36-M36))/(1093+0.444*L36-M36))</f>
        <v>3.8899893525153539E-4</v>
      </c>
      <c r="P36" s="126">
        <f xml:space="preserve"> IF(E36="XX", "XX", ((O36/AF36)/(1-(1-(O36/AF36))*(AB36/J36)))*100)</f>
        <v>100</v>
      </c>
      <c r="Q36" s="479">
        <f xml:space="preserve"> IF(E36="XX", "XX", 0.7543*(T36*(1+1.6078*O36))/H36)</f>
        <v>11.619298755756086</v>
      </c>
      <c r="R36" s="487">
        <f xml:space="preserve"> IF(E36="XX", "XX", 1/Q36)</f>
        <v>8.606371357003019E-2</v>
      </c>
      <c r="S36" s="129">
        <f>IF(E36="XX", "XX", 0.24*L36+O36*(1061+0.444*L36))</f>
        <v>-4.0960921597429438</v>
      </c>
      <c r="T36" s="130">
        <f>IF(E36="XX", "XX", L36+459.7)</f>
        <v>440.92676</v>
      </c>
      <c r="U36" s="131">
        <f>IF(E36="XX", "XX", M36+459.7)</f>
        <v>440.92676</v>
      </c>
      <c r="X36" s="148">
        <f t="shared" si="11"/>
        <v>13</v>
      </c>
      <c r="Y36" s="128">
        <f>D36</f>
        <v>54</v>
      </c>
      <c r="Z36" s="125">
        <f xml:space="preserve"> IF(E36="XX", "XX", EXP((-10440.397/U36)+(-11.29465) + (-0.027022355*U36) + (0.00001289036*U36*U36) + (-0.0000000024780681*U36^3)+(6.5459673*LN(U36))) )</f>
        <v>8.7687502251016271E-3</v>
      </c>
      <c r="AA36" s="142">
        <f>IF(E36="XX", "XX", 0.62198*Z36/(J36-Z36))</f>
        <v>3.8899893525153539E-4</v>
      </c>
      <c r="AB36" s="125">
        <f xml:space="preserve"> IF(E36="XX", "XX", EXP((-10440.397/T36)+(-11.29465) + (-0.027022355*T36) + (0.00001289036*T36*T36) + (-0.0000000024780681*T36^3)+(6.5459673*LN(T36))) )</f>
        <v>8.7687502251016271E-3</v>
      </c>
      <c r="AC36" s="142">
        <f>IF(E36="XX", "XX", AB36*2.041772658 )</f>
        <v>1.7903794454443848E-2</v>
      </c>
      <c r="AD36" s="142">
        <f>IF(E36="XX", "XX", (H36*O36)/(0.62198+O36))</f>
        <v>1.790204499079754E-2</v>
      </c>
      <c r="AE36" s="142">
        <f>IF(E36="XX", "XX", LN(AD36*0.4897705))</f>
        <v>-4.7366586923076222</v>
      </c>
      <c r="AF36" s="149">
        <f>IF(E36="XX", "XX", 0.62198*(AB36/(J36-AB36)))</f>
        <v>3.8899893525153539E-4</v>
      </c>
      <c r="AH36" s="475">
        <f xml:space="preserve"> IF(D36="XX", "XX", E36- $D$4)</f>
        <v>779</v>
      </c>
      <c r="AI36" s="1">
        <f xml:space="preserve"> IF(D36="XX", "XX", $AN$3 * R36 * (T36-$T$7)/$T$7 * $AP$3 * ($H$4-AH36))</f>
        <v>3.6150175959360535E-2</v>
      </c>
      <c r="AJ36" s="1">
        <f xml:space="preserve"> IF(D36="XX", "XX", $AR$3 * $AN$4^2 * $AR$4 * R36 * K36^2/2)</f>
        <v>1.8798852432018213E-3</v>
      </c>
      <c r="AK36" s="1">
        <f xml:space="preserve"> IF(D36="XX", "XX", AI36 +AJ36)</f>
        <v>3.803006120256236E-2</v>
      </c>
      <c r="AL36" s="1">
        <f xml:space="preserve"> IF(D36="XX", "XX", AK36 +$AK$31)</f>
        <v>4.3030061202562357E-2</v>
      </c>
      <c r="AM36" s="28">
        <f xml:space="preserve"> IF(D36="XX", "XX", 60 * ($AP$4 * $AN$31 * (2 * ABS(AL36)/R36)^0.5))</f>
        <v>1123.1765659745979</v>
      </c>
      <c r="AN36" s="29" t="str">
        <f>IF(D36="XX", "XX", IF(AL36&lt;0, "Exfl", "Infl"))</f>
        <v>Infl</v>
      </c>
      <c r="AO36" s="28">
        <f t="shared" si="13"/>
        <v>-1123.1765659745979</v>
      </c>
      <c r="AP36" s="476">
        <f>IF(D36="XX", "XX", AO36/$K$10)</f>
        <v>-0.13371149594935688</v>
      </c>
      <c r="AQ36" s="28">
        <f t="shared" si="14"/>
        <v>110110.72606443508</v>
      </c>
      <c r="AR36" s="397">
        <f xml:space="preserve"> IF(D36="XX", "XX", AO36 * 1.08 * 3000/1000)</f>
        <v>-3639.092073757698</v>
      </c>
    </row>
    <row r="37" spans="2:44" ht="19.05" customHeight="1">
      <c r="B37" s="12"/>
      <c r="C37" s="12"/>
      <c r="D37" s="12"/>
      <c r="E37" s="12"/>
      <c r="F37" s="12"/>
      <c r="G37" s="14"/>
      <c r="H37" s="14"/>
      <c r="I37" s="14"/>
      <c r="J37" s="14"/>
      <c r="K37" s="14"/>
      <c r="L37" s="9"/>
      <c r="M37" s="9"/>
      <c r="N37" s="18"/>
      <c r="O37" s="19"/>
      <c r="P37" s="20"/>
      <c r="Q37" s="436"/>
      <c r="R37" s="482"/>
      <c r="S37" s="56"/>
      <c r="T37" s="22"/>
      <c r="U37" s="22"/>
      <c r="Z37" s="19"/>
      <c r="AA37" s="15"/>
      <c r="AB37" s="19"/>
      <c r="AC37" s="15"/>
      <c r="AD37" s="15"/>
      <c r="AE37" s="15"/>
      <c r="AF37" s="19"/>
      <c r="AH37" s="58"/>
      <c r="AI37" s="151"/>
      <c r="AJ37" s="151"/>
      <c r="AK37" s="151"/>
      <c r="AL37" s="151"/>
      <c r="AM37" s="153"/>
      <c r="AN37" s="16"/>
      <c r="AO37" s="153"/>
      <c r="AP37" s="152"/>
      <c r="AQ37" s="153"/>
      <c r="AR37" s="153"/>
    </row>
    <row r="38" spans="2:44" ht="19.05" customHeight="1" thickBot="1">
      <c r="B38" s="66" t="str">
        <f>'Input-Output'!AK21</f>
        <v>4-k</v>
      </c>
      <c r="E38" s="13" t="s">
        <v>121</v>
      </c>
      <c r="F38" s="23"/>
      <c r="G38" s="115">
        <f>'Input-Output'!AC22</f>
        <v>40</v>
      </c>
      <c r="H38" s="435" t="s">
        <v>122</v>
      </c>
      <c r="I38" s="436"/>
      <c r="J38" s="436"/>
      <c r="K38" s="116">
        <f>'Input-Output'!AC32</f>
        <v>9720</v>
      </c>
      <c r="X38" s="75" t="str">
        <f t="shared" ref="X38:X45" si="15">B38</f>
        <v>4-k</v>
      </c>
      <c r="Z38" s="61" t="s">
        <v>125</v>
      </c>
      <c r="AA38" s="56"/>
      <c r="AB38" s="117">
        <f>'Input-Output'!AC24</f>
        <v>0.25</v>
      </c>
      <c r="AC38" s="62" t="s">
        <v>123</v>
      </c>
      <c r="AD38" s="19"/>
      <c r="AE38" s="117">
        <f>'Input-Output'!AC25</f>
        <v>0.6</v>
      </c>
      <c r="AH38" s="68" t="s">
        <v>124</v>
      </c>
      <c r="AK38" s="118">
        <f>'Input-Output'!AC26</f>
        <v>5.0000000000000001E-3</v>
      </c>
      <c r="AL38" s="150" t="s">
        <v>141</v>
      </c>
      <c r="AM38" s="151"/>
      <c r="AN38" s="155">
        <f>'Input-Output'!AC33</f>
        <v>24.3</v>
      </c>
      <c r="AO38" s="180" t="s">
        <v>228</v>
      </c>
      <c r="AP38" s="152"/>
      <c r="AR38" s="155">
        <f>SUM(AR41:AR45)</f>
        <v>15211.574794176535</v>
      </c>
    </row>
    <row r="39" spans="2:44" ht="19.05" customHeight="1">
      <c r="B39" s="162" t="s">
        <v>58</v>
      </c>
      <c r="C39" s="168" t="s">
        <v>118</v>
      </c>
      <c r="D39" s="163" t="s">
        <v>117</v>
      </c>
      <c r="E39" s="169" t="s">
        <v>66</v>
      </c>
      <c r="F39" s="163"/>
      <c r="G39" s="170" t="s">
        <v>57</v>
      </c>
      <c r="H39" s="171"/>
      <c r="I39" s="171"/>
      <c r="J39" s="171"/>
      <c r="K39" s="171" t="s">
        <v>60</v>
      </c>
      <c r="L39" s="172" t="s">
        <v>20</v>
      </c>
      <c r="M39" s="172" t="s">
        <v>21</v>
      </c>
      <c r="N39" s="172" t="s">
        <v>36</v>
      </c>
      <c r="O39" s="145" t="s">
        <v>40</v>
      </c>
      <c r="P39" s="145" t="s">
        <v>37</v>
      </c>
      <c r="Q39" s="171" t="s">
        <v>38</v>
      </c>
      <c r="R39" s="485" t="s">
        <v>39</v>
      </c>
      <c r="S39" s="145" t="s">
        <v>41</v>
      </c>
      <c r="T39" s="145" t="s">
        <v>42</v>
      </c>
      <c r="U39" s="146" t="s">
        <v>43</v>
      </c>
      <c r="X39" s="166" t="str">
        <f t="shared" si="15"/>
        <v>Level</v>
      </c>
      <c r="Y39" s="163" t="str">
        <f t="shared" ref="Y39:Y45" si="16">D39</f>
        <v>Bldg</v>
      </c>
      <c r="Z39" s="164" t="s">
        <v>142</v>
      </c>
      <c r="AA39" s="145"/>
      <c r="AB39" s="145"/>
      <c r="AC39" s="145"/>
      <c r="AD39" s="145"/>
      <c r="AE39" s="145"/>
      <c r="AF39" s="146"/>
      <c r="AH39" s="465" t="s">
        <v>76</v>
      </c>
      <c r="AI39" s="466" t="s">
        <v>68</v>
      </c>
      <c r="AJ39" s="466" t="s">
        <v>71</v>
      </c>
      <c r="AK39" s="466" t="s">
        <v>72</v>
      </c>
      <c r="AL39" s="466" t="s">
        <v>73</v>
      </c>
      <c r="AM39" s="467" t="s">
        <v>74</v>
      </c>
      <c r="AN39" s="468" t="s">
        <v>77</v>
      </c>
      <c r="AO39" s="467" t="s">
        <v>79</v>
      </c>
      <c r="AP39" s="469" t="s">
        <v>80</v>
      </c>
      <c r="AQ39" s="467" t="s">
        <v>225</v>
      </c>
      <c r="AR39" s="470" t="s">
        <v>226</v>
      </c>
    </row>
    <row r="40" spans="2:44" ht="19.05" customHeight="1">
      <c r="B40" s="173" t="s">
        <v>31</v>
      </c>
      <c r="C40" s="174" t="s">
        <v>59</v>
      </c>
      <c r="D40" s="174" t="s">
        <v>59</v>
      </c>
      <c r="E40" s="175" t="s">
        <v>14</v>
      </c>
      <c r="F40" s="175" t="s">
        <v>15</v>
      </c>
      <c r="G40" s="176" t="s">
        <v>18</v>
      </c>
      <c r="H40" s="176" t="s">
        <v>17</v>
      </c>
      <c r="I40" s="176" t="s">
        <v>19</v>
      </c>
      <c r="J40" s="176" t="s">
        <v>16</v>
      </c>
      <c r="K40" s="176" t="s">
        <v>61</v>
      </c>
      <c r="L40" s="177" t="s">
        <v>44</v>
      </c>
      <c r="M40" s="177" t="s">
        <v>44</v>
      </c>
      <c r="N40" s="177" t="s">
        <v>44</v>
      </c>
      <c r="O40" s="174" t="s">
        <v>47</v>
      </c>
      <c r="P40" s="174" t="s">
        <v>45</v>
      </c>
      <c r="Q40" s="176" t="s">
        <v>46</v>
      </c>
      <c r="R40" s="486" t="s">
        <v>22</v>
      </c>
      <c r="S40" s="174" t="s">
        <v>48</v>
      </c>
      <c r="T40" s="174" t="s">
        <v>49</v>
      </c>
      <c r="U40" s="178" t="s">
        <v>49</v>
      </c>
      <c r="X40" s="167" t="str">
        <f t="shared" si="15"/>
        <v>ID No.</v>
      </c>
      <c r="Y40" s="72" t="str">
        <f t="shared" si="16"/>
        <v>Flr No.</v>
      </c>
      <c r="Z40" s="73" t="s">
        <v>50</v>
      </c>
      <c r="AA40" s="73" t="s">
        <v>51</v>
      </c>
      <c r="AB40" s="73" t="s">
        <v>52</v>
      </c>
      <c r="AC40" s="73" t="s">
        <v>53</v>
      </c>
      <c r="AD40" s="73" t="s">
        <v>54</v>
      </c>
      <c r="AE40" s="73" t="s">
        <v>55</v>
      </c>
      <c r="AF40" s="74" t="s">
        <v>56</v>
      </c>
      <c r="AH40" s="471" t="s">
        <v>140</v>
      </c>
      <c r="AI40" s="159" t="s">
        <v>19</v>
      </c>
      <c r="AJ40" s="159" t="s">
        <v>19</v>
      </c>
      <c r="AK40" s="160" t="s">
        <v>86</v>
      </c>
      <c r="AL40" s="161" t="s">
        <v>87</v>
      </c>
      <c r="AM40" s="158" t="s">
        <v>75</v>
      </c>
      <c r="AN40" s="157" t="s">
        <v>78</v>
      </c>
      <c r="AO40" s="158" t="s">
        <v>75</v>
      </c>
      <c r="AP40" s="160" t="s">
        <v>81</v>
      </c>
      <c r="AQ40" s="158" t="s">
        <v>204</v>
      </c>
      <c r="AR40" s="472" t="s">
        <v>227</v>
      </c>
    </row>
    <row r="41" spans="2:44" ht="19.05" customHeight="1">
      <c r="B41" s="134">
        <f>'Input-Output'!AI22</f>
        <v>12</v>
      </c>
      <c r="C41" s="36">
        <f>'Input-Output'!AJ22</f>
        <v>30</v>
      </c>
      <c r="D41" s="36">
        <f>'Input-Output'!AK22</f>
        <v>36</v>
      </c>
      <c r="E41" s="36">
        <f>'Input-Output'!AL22</f>
        <v>1109</v>
      </c>
      <c r="F41" s="36">
        <f>'Input-Output'!AM22</f>
        <v>338.02320000000003</v>
      </c>
      <c r="G41" s="38">
        <f t="shared" ref="G41:G45" si="17">IF(E41="XX","XX",((101325*(1-2.25577*(10^(-5))*F41)^5.2555)/1000))</f>
        <v>97.3299047222837</v>
      </c>
      <c r="H41" s="38">
        <f xml:space="preserve"> IF(E41="XX", "XX", G41*$AB$3)</f>
        <v>28.81987478377923</v>
      </c>
      <c r="I41" s="38">
        <f>IF(E41="XX", "XX", G41*$AD$3)</f>
        <v>391.12662389151319</v>
      </c>
      <c r="J41" s="38">
        <f xml:space="preserve"> IF(E41="XX", "XX",G41*$AF$3)</f>
        <v>14.116503652380015</v>
      </c>
      <c r="K41" s="38">
        <f xml:space="preserve"> IF(E41="XX", "XX", ( $K$65 + $U$4 * (E41-$D$4)/$F$4 ) )</f>
        <v>17.326203208556151</v>
      </c>
      <c r="L41" s="33">
        <f xml:space="preserve"> IF(E41="XX", "XX", $L$65 - 0.00356*(E41-$E$65))</f>
        <v>-18.168040000000001</v>
      </c>
      <c r="M41" s="33">
        <f>IF(E41="XX","XX ", $M$65-0.00356*(E41-$E$65))</f>
        <v>-18.168040000000001</v>
      </c>
      <c r="N41" s="40">
        <f>IF(E41="XX","XX",100.45+33.193*AE41+2.319*AE41^2+0.17074*AE41^3+1.2063*(AD41*0.4897705)^3)</f>
        <v>-22.183627302062465</v>
      </c>
      <c r="O41" s="41">
        <f>IF(E41="XX","XX ",((1093-0.556*M41)*AA41-0.24*(L41-M41))/(1093+0.444*L41-M41))</f>
        <v>3.9881078813305766E-4</v>
      </c>
      <c r="P41" s="42">
        <f xml:space="preserve"> IF(E41="XX", "XX", ((O41/AF41)/(1-(1-(O41/AF41))*(AB41/J41)))*100)</f>
        <v>99.999999999999986</v>
      </c>
      <c r="Q41" s="480">
        <f xml:space="preserve"> IF(E41="XX", "XX", 0.7543*(T41*(1+1.6078*O41))/H41)</f>
        <v>11.563586333443448</v>
      </c>
      <c r="R41" s="489">
        <f xml:space="preserve"> IF(E41="XX", "XX", 1/Q41)</f>
        <v>8.6478361570913806E-2</v>
      </c>
      <c r="S41" s="57">
        <f>IF(E41="XX", "XX", 0.24*L41+O41*(1061+0.444*L41))</f>
        <v>-3.9404084047867731</v>
      </c>
      <c r="T41" s="44">
        <f>IF(E41="XX", "XX", L41+459.7)</f>
        <v>441.53195999999997</v>
      </c>
      <c r="U41" s="133">
        <f>IF(E41="XX", "XX", M41+459.7)</f>
        <v>441.53195999999997</v>
      </c>
      <c r="X41" s="147">
        <f t="shared" si="15"/>
        <v>12</v>
      </c>
      <c r="Y41" s="34">
        <f t="shared" si="16"/>
        <v>36</v>
      </c>
      <c r="Z41" s="41">
        <f xml:space="preserve"> IF(E41="XX", "XX", EXP((-10440.397/U41)+(-11.29465) + (-0.027022355*U41) + (0.00001289036*U41*U41) + (-0.0000000024780681*U41^3)+(6.5459673*LN(U41))) )</f>
        <v>9.0456388451909137E-3</v>
      </c>
      <c r="AA41" s="39">
        <f>IF(E41="XX", "XX", 0.62198*Z41/(J41-Z41))</f>
        <v>3.9881078813305777E-4</v>
      </c>
      <c r="AB41" s="41">
        <f xml:space="preserve"> IF(E41="XX", "XX", EXP((-10440.397/T41)+(-11.29465) + (-0.027022355*T41) + (0.00001289036*T41*T41) + (-0.0000000024780681*T41^3)+(6.5459673*LN(T41))) )</f>
        <v>9.0456388451909137E-3</v>
      </c>
      <c r="AC41" s="39">
        <f>IF(E41="XX", "XX", AB41*2.041772658 )</f>
        <v>1.8469138068253503E-2</v>
      </c>
      <c r="AD41" s="39">
        <f>IF(E41="XX", "XX", (H41*O41)/(0.62198+O41))</f>
        <v>1.8467333362233707E-2</v>
      </c>
      <c r="AE41" s="39">
        <f>IF(E41="XX", "XX", LN(AD41*0.4897705))</f>
        <v>-4.7055702368433083</v>
      </c>
      <c r="AF41" s="140">
        <f>IF(E41="XX", "XX", 0.62198*(AB41/(J41-AB41)))</f>
        <v>3.9881078813305772E-4</v>
      </c>
      <c r="AH41" s="473">
        <f xml:space="preserve"> IF(D41="XX", "XX", E41- $D$4)</f>
        <v>609</v>
      </c>
      <c r="AI41" s="154">
        <f xml:space="preserve"> IF(D41="XX", "XX", $AN$3 * R41 * (T41-$T$7)/$T$7 * $AP$3 * ($H$4-AH41))</f>
        <v>-1.3189485947325316E-2</v>
      </c>
      <c r="AJ41" s="154">
        <f xml:space="preserve"> IF(D41="XX", "XX", $AR$3 * $AN$4^2 * $AR$4 * R41 * K41^2/2)</f>
        <v>1.7549346791058762E-3</v>
      </c>
      <c r="AK41" s="154">
        <f xml:space="preserve"> IF(D41="XX", "XX", AI41 +AJ41)</f>
        <v>-1.1434551268219441E-2</v>
      </c>
      <c r="AL41" s="154">
        <f xml:space="preserve"> IF(D41="XX", "XX", AK41 +$AK$38)</f>
        <v>-6.4345512682194407E-3</v>
      </c>
      <c r="AM41" s="26">
        <f xml:space="preserve"> IF(D41="XX", "XX", 60 * ($AP$4 * $AN$38 * (2 * ABS(AL41)/R41)^0.5))</f>
        <v>365.58745512399202</v>
      </c>
      <c r="AN41" s="27" t="str">
        <f>IF(D41="XX", "XX", IF(AL41&lt;0, "Exfl", "Infl"))</f>
        <v>Exfl</v>
      </c>
      <c r="AO41" s="26">
        <f t="shared" ref="AO41:AO45" si="18" xml:space="preserve"> IF(AN41="Infl", -AM41, AM41)</f>
        <v>365.58745512399202</v>
      </c>
      <c r="AP41" s="474">
        <f>IF(D41="XX", "XX", AO41/$K$10)</f>
        <v>4.3522316086189526E-2</v>
      </c>
      <c r="AQ41" s="26">
        <f t="shared" ref="AQ41:AQ45" si="19">IF(D41="XX", "XX", AO41*1.08*(L41-$L$8))</f>
        <v>-35601.448619287788</v>
      </c>
      <c r="AR41" s="392">
        <f xml:space="preserve"> IF(D41="XX", "XX", AO41 * 1.08 * 3000/1000)</f>
        <v>1184.5033546017344</v>
      </c>
    </row>
    <row r="42" spans="2:44" ht="19.05" customHeight="1">
      <c r="B42" s="134">
        <f>'Input-Output'!AI23</f>
        <v>11</v>
      </c>
      <c r="C42" s="36">
        <f>'Input-Output'!AJ23</f>
        <v>25</v>
      </c>
      <c r="D42" s="36">
        <f>'Input-Output'!AK23</f>
        <v>31</v>
      </c>
      <c r="E42" s="36">
        <f>'Input-Output'!AL23</f>
        <v>1041.5</v>
      </c>
      <c r="F42" s="36">
        <f>'Input-Output'!AM23</f>
        <v>317.44920000000002</v>
      </c>
      <c r="G42" s="38">
        <f t="shared" si="17"/>
        <v>97.569363217776953</v>
      </c>
      <c r="H42" s="38">
        <f xml:space="preserve"> IF(E42="XX", "XX", G42*$AB$3)</f>
        <v>28.890779649819315</v>
      </c>
      <c r="I42" s="38">
        <f>IF(E42="XX", "XX", G42*$AD$3)</f>
        <v>392.08890360576601</v>
      </c>
      <c r="J42" s="38">
        <f xml:space="preserve"> IF(E42="XX", "XX",G42*$AF$3)</f>
        <v>14.151234157211691</v>
      </c>
      <c r="K42" s="38">
        <f xml:space="preserve"> IF(E42="XX", "XX", ( $K$65 + $U$4 * (E42-$D$4)/$F$4 ) )</f>
        <v>17.068372803666922</v>
      </c>
      <c r="L42" s="33">
        <f xml:space="preserve"> IF(E42="XX", "XX", $L$65 - 0.00356*(E42-$E$65))</f>
        <v>-17.92774</v>
      </c>
      <c r="M42" s="33">
        <f>IF(E42="XX","XX ", $M$65-0.00356*(E42-$E$65))</f>
        <v>-17.92774</v>
      </c>
      <c r="N42" s="40">
        <f>IF(E42="XX","XX",100.45+33.193*AE42+2.319*AE42^2+0.17074*AE42^3+1.2063*(AD42*0.4897705)^3)</f>
        <v>-21.903898880881457</v>
      </c>
      <c r="O42" s="41">
        <f>IF(E42="XX","XX ",((1093-0.556*M42)*AA42-0.24*(L42-M42))/(1093+0.444*L42-M42))</f>
        <v>4.027652995854538E-4</v>
      </c>
      <c r="P42" s="42">
        <f xml:space="preserve"> IF(E42="XX", "XX", ((O42/AF42)/(1-(1-(O42/AF42))*(AB42/J42)))*100)</f>
        <v>100</v>
      </c>
      <c r="Q42" s="480">
        <f xml:space="preserve"> IF(E42="XX", "XX", 0.7543*(T42*(1+1.6078*O42))/H42)</f>
        <v>11.541557805885796</v>
      </c>
      <c r="R42" s="489">
        <f xml:space="preserve"> IF(E42="XX", "XX", 1/Q42)</f>
        <v>8.6643416497037731E-2</v>
      </c>
      <c r="S42" s="57">
        <f>IF(E42="XX", "XX", 0.24*L42+O42*(1061+0.444*L42))</f>
        <v>-3.8785295953177972</v>
      </c>
      <c r="T42" s="44">
        <f>IF(E42="XX", "XX", L42+459.7)</f>
        <v>441.77225999999996</v>
      </c>
      <c r="U42" s="133">
        <f>IF(E42="XX", "XX", M42+459.7)</f>
        <v>441.77225999999996</v>
      </c>
      <c r="X42" s="147">
        <f t="shared" si="15"/>
        <v>11</v>
      </c>
      <c r="Y42" s="34">
        <f t="shared" si="16"/>
        <v>31</v>
      </c>
      <c r="Z42" s="41">
        <f xml:space="preserve"> IF(E42="XX", "XX", EXP((-10440.397/U42)+(-11.29465) + (-0.027022355*U42) + (0.00001289036*U42*U42) + (-0.0000000024780681*U42^3)+(6.5459673*LN(U42))) )</f>
        <v>9.1577504754485686E-3</v>
      </c>
      <c r="AA42" s="39">
        <f>IF(E42="XX", "XX", 0.62198*Z42/(J42-Z42))</f>
        <v>4.027652995854538E-4</v>
      </c>
      <c r="AB42" s="41">
        <f xml:space="preserve"> IF(E42="XX", "XX", EXP((-10440.397/T42)+(-11.29465) + (-0.027022355*T42) + (0.00001289036*T42*T42) + (-0.0000000024780681*T42^3)+(6.5459673*LN(T42))) )</f>
        <v>9.1577504754485686E-3</v>
      </c>
      <c r="AC42" s="39">
        <f>IF(E42="XX", "XX", AB42*2.041772658 )</f>
        <v>1.8698044529557388E-2</v>
      </c>
      <c r="AD42" s="39">
        <f>IF(E42="XX", "XX", (H42*O42)/(0.62198+O42))</f>
        <v>1.8696217456014699E-2</v>
      </c>
      <c r="AE42" s="39">
        <f>IF(E42="XX", "XX", LN(AD42*0.4897705))</f>
        <v>-4.6932524156040367</v>
      </c>
      <c r="AF42" s="140">
        <f>IF(E42="XX", "XX", 0.62198*(AB42/(J42-AB42)))</f>
        <v>4.027652995854538E-4</v>
      </c>
      <c r="AH42" s="473">
        <f xml:space="preserve"> IF(D42="XX", "XX", E42- $D$4)</f>
        <v>541.5</v>
      </c>
      <c r="AI42" s="154">
        <f xml:space="preserve"> IF(D42="XX", "XX", $AN$3 * R42 * (T42-$T$7)/$T$7 * $AP$3 * ($H$4-AH42))</f>
        <v>-3.2734178661770641E-2</v>
      </c>
      <c r="AJ42" s="154">
        <f xml:space="preserve"> IF(D42="XX", "XX", $AR$3 * $AN$4^2 * $AR$4 * R42 * K42^2/2)</f>
        <v>1.7063436671527895E-3</v>
      </c>
      <c r="AK42" s="154">
        <f xml:space="preserve"> IF(D42="XX", "XX", AI42 +AJ42)</f>
        <v>-3.1027834994617851E-2</v>
      </c>
      <c r="AL42" s="154">
        <f xml:space="preserve"> IF(D42="XX", "XX", AK42 +$AK$38)</f>
        <v>-2.602783499461785E-2</v>
      </c>
      <c r="AM42" s="26">
        <f xml:space="preserve"> IF(D42="XX", "XX", 60 * ($AP$4 * $AN$38 * (2 * ABS(AL42)/R42)^0.5))</f>
        <v>734.57664510559005</v>
      </c>
      <c r="AN42" s="27" t="str">
        <f>IF(D42="XX", "XX", IF(AL42&lt;0, "Exfl", "Infl"))</f>
        <v>Exfl</v>
      </c>
      <c r="AO42" s="26">
        <f t="shared" si="18"/>
        <v>734.57664510559005</v>
      </c>
      <c r="AP42" s="474">
        <f>IF(D42="XX", "XX", AO42/$K$10)</f>
        <v>8.7449600607808334E-2</v>
      </c>
      <c r="AQ42" s="26">
        <f t="shared" si="19"/>
        <v>-71343.522955217995</v>
      </c>
      <c r="AR42" s="392">
        <f xml:space="preserve"> IF(D42="XX", "XX", AO42 * 1.08 * 3000/1000)</f>
        <v>2380.0283301421118</v>
      </c>
    </row>
    <row r="43" spans="2:44" ht="19.05" customHeight="1">
      <c r="B43" s="134">
        <f>'Input-Output'!AI24</f>
        <v>10</v>
      </c>
      <c r="C43" s="36">
        <f>'Input-Output'!AJ24</f>
        <v>20</v>
      </c>
      <c r="D43" s="36">
        <f>'Input-Output'!AK24</f>
        <v>26</v>
      </c>
      <c r="E43" s="36">
        <f>'Input-Output'!AL24</f>
        <v>974</v>
      </c>
      <c r="F43" s="36">
        <f>'Input-Output'!AM24</f>
        <v>296.87520000000001</v>
      </c>
      <c r="G43" s="38">
        <f t="shared" si="17"/>
        <v>97.809298525673938</v>
      </c>
      <c r="H43" s="38">
        <f xml:space="preserve"> IF(E43="XX", "XX", G43*$AB$3)</f>
        <v>28.961825702412597</v>
      </c>
      <c r="I43" s="38">
        <f>IF(E43="XX", "XX", G43*$AD$3)</f>
        <v>393.05309942202507</v>
      </c>
      <c r="J43" s="38">
        <f xml:space="preserve"> IF(E43="XX", "XX",G43*$AF$3)</f>
        <v>14.186033817808577</v>
      </c>
      <c r="K43" s="38">
        <f xml:space="preserve"> IF(E43="XX", "XX", ( $K$65 + $U$4 * (E43-$D$4)/$F$4 ) )</f>
        <v>16.810542398777692</v>
      </c>
      <c r="L43" s="33">
        <f xml:space="preserve"> IF(E43="XX", "XX", $L$65 - 0.00356*(E43-$E$65))</f>
        <v>-17.687439999999999</v>
      </c>
      <c r="M43" s="33">
        <f>IF(E43="XX","XX ", $M$65-0.00356*(E43-$E$65))</f>
        <v>-17.687439999999999</v>
      </c>
      <c r="N43" s="40">
        <f>IF(E43="XX","XX",100.45+33.193*AE43+2.319*AE43^2+0.17074*AE43^3+1.2063*(AD43*0.4897705)^3)</f>
        <v>-21.624532576071871</v>
      </c>
      <c r="O43" s="41">
        <f>IF(E43="XX","XX ",((1093-0.556*M43)*AA43-0.24*(L43-M43))/(1093+0.444*L43-M43))</f>
        <v>4.0675348712193305E-4</v>
      </c>
      <c r="P43" s="42">
        <f xml:space="preserve"> IF(E43="XX", "XX", ((O43/AF43)/(1-(1-(O43/AF43))*(AB43/J43)))*100)</f>
        <v>100</v>
      </c>
      <c r="Q43" s="480">
        <f xml:space="preserve"> IF(E43="XX", "XX", 0.7543*(T43*(1+1.6078*O43))/H43)</f>
        <v>11.519581685733947</v>
      </c>
      <c r="R43" s="489">
        <f xml:space="preserve"> IF(E43="XX", "XX", 1/Q43)</f>
        <v>8.6808707753547834E-2</v>
      </c>
      <c r="S43" s="57">
        <f>IF(E43="XX", "XX", 0.24*L43+O43*(1061+0.444*L43))</f>
        <v>-3.8166144761504563</v>
      </c>
      <c r="T43" s="44">
        <f>IF(E43="XX", "XX", L43+459.7)</f>
        <v>442.01256000000001</v>
      </c>
      <c r="U43" s="133">
        <f>IF(E43="XX", "XX", M43+459.7)</f>
        <v>442.01256000000001</v>
      </c>
      <c r="X43" s="147">
        <f t="shared" si="15"/>
        <v>10</v>
      </c>
      <c r="Y43" s="34">
        <f t="shared" si="16"/>
        <v>26</v>
      </c>
      <c r="Z43" s="41">
        <f xml:space="preserve"> IF(E43="XX", "XX", EXP((-10440.397/U43)+(-11.29465) + (-0.027022355*U43) + (0.00001289036*U43*U43) + (-0.0000000024780681*U43^3)+(6.5459673*LN(U43))) )</f>
        <v>9.2711142894571601E-3</v>
      </c>
      <c r="AA43" s="39">
        <f>IF(E43="XX", "XX", 0.62198*Z43/(J43-Z43))</f>
        <v>4.0675348712193305E-4</v>
      </c>
      <c r="AB43" s="41">
        <f xml:space="preserve"> IF(E43="XX", "XX", EXP((-10440.397/T43)+(-11.29465) + (-0.027022355*T43) + (0.00001289036*T43*T43) + (-0.0000000024780681*T43^3)+(6.5459673*LN(T43))) )</f>
        <v>9.2711142894571601E-3</v>
      </c>
      <c r="AC43" s="39">
        <f>IF(E43="XX", "XX", AB43*2.041772658 )</f>
        <v>1.8929507665406728E-2</v>
      </c>
      <c r="AD43" s="39">
        <f>IF(E43="XX", "XX", (H43*O43)/(0.62198+O43))</f>
        <v>1.8927657974516489E-2</v>
      </c>
      <c r="AE43" s="39">
        <f>IF(E43="XX", "XX", LN(AD43*0.4897705))</f>
        <v>-4.6809494066683479</v>
      </c>
      <c r="AF43" s="140">
        <f>IF(E43="XX", "XX", 0.62198*(AB43/(J43-AB43)))</f>
        <v>4.0675348712193305E-4</v>
      </c>
      <c r="AH43" s="473">
        <f xml:space="preserve"> IF(D43="XX", "XX", E43- $D$4)</f>
        <v>474</v>
      </c>
      <c r="AI43" s="154">
        <f xml:space="preserve"> IF(D43="XX", "XX", $AN$3 * R43 * (T43-$T$7)/$T$7 * $AP$3 * ($H$4-AH43))</f>
        <v>-5.2252063453228574E-2</v>
      </c>
      <c r="AJ43" s="154">
        <f xml:space="preserve"> IF(D43="XX", "XX", $AR$3 * $AN$4^2 * $AR$4 * R43 * K43^2/2)</f>
        <v>1.6583394794410366E-3</v>
      </c>
      <c r="AK43" s="154">
        <f xml:space="preserve"> IF(D43="XX", "XX", AI43 +AJ43)</f>
        <v>-5.0593723973787537E-2</v>
      </c>
      <c r="AL43" s="154">
        <f xml:space="preserve"> IF(D43="XX", "XX", AK43 +$AK$38)</f>
        <v>-4.5593723973787539E-2</v>
      </c>
      <c r="AM43" s="26">
        <f xml:space="preserve"> IF(D43="XX", "XX", 60 * ($AP$4 * $AN$38 * (2 * ABS(AL43)/R43)^0.5))</f>
        <v>971.30755247649415</v>
      </c>
      <c r="AN43" s="27" t="str">
        <f>IF(D43="XX", "XX", IF(AL43&lt;0, "Exfl", "Infl"))</f>
        <v>Exfl</v>
      </c>
      <c r="AO43" s="26">
        <f t="shared" si="18"/>
        <v>971.30755247649415</v>
      </c>
      <c r="AP43" s="474">
        <f>IF(D43="XX", "XX", AO43/$K$10)</f>
        <v>0.11563185148529692</v>
      </c>
      <c r="AQ43" s="26">
        <f t="shared" si="19"/>
        <v>-94083.21486102503</v>
      </c>
      <c r="AR43" s="392">
        <f xml:space="preserve"> IF(D43="XX", "XX", AO43 * 1.08 * 3000/1000)</f>
        <v>3147.0364700238415</v>
      </c>
    </row>
    <row r="44" spans="2:44" ht="19.05" customHeight="1">
      <c r="B44" s="134">
        <f>'Input-Output'!AI25</f>
        <v>9</v>
      </c>
      <c r="C44" s="36">
        <f>'Input-Output'!AJ25</f>
        <v>15</v>
      </c>
      <c r="D44" s="36">
        <f>'Input-Output'!AK25</f>
        <v>21</v>
      </c>
      <c r="E44" s="36">
        <f>'Input-Output'!AL25</f>
        <v>906.5</v>
      </c>
      <c r="F44" s="36">
        <f>'Input-Output'!AM25</f>
        <v>276.30119999999999</v>
      </c>
      <c r="G44" s="38">
        <f t="shared" si="17"/>
        <v>98.049711371961493</v>
      </c>
      <c r="H44" s="38">
        <f xml:space="preserve"> IF(E44="XX", "XX", G44*$AB$3)</f>
        <v>29.033013156527439</v>
      </c>
      <c r="I44" s="38">
        <f>IF(E44="XX", "XX", G44*$AD$3)</f>
        <v>394.01921425771621</v>
      </c>
      <c r="J44" s="38">
        <f xml:space="preserve"> IF(E44="XX", "XX",G44*$AF$3)</f>
        <v>14.220902739466119</v>
      </c>
      <c r="K44" s="38">
        <f xml:space="preserve"> IF(E44="XX", "XX", ( $K$65 + $U$4 * (E44-$D$4)/$F$4 ) )</f>
        <v>16.552711993888465</v>
      </c>
      <c r="L44" s="33">
        <f xml:space="preserve"> IF(E44="XX", "XX", $L$65 - 0.00356*(E44-$E$65))</f>
        <v>-17.447140000000001</v>
      </c>
      <c r="M44" s="33">
        <f>IF(E44="XX","XX ", $M$65-0.00356*(E44-$E$65))</f>
        <v>-17.447140000000001</v>
      </c>
      <c r="N44" s="40">
        <f>IF(E44="XX","XX",100.45+33.193*AE44+2.319*AE44^2+0.17074*AE44^3+1.2063*(AD44*0.4897705)^3)</f>
        <v>-21.345525829681524</v>
      </c>
      <c r="O44" s="41">
        <f>IF(E44="XX","XX ",((1093-0.556*M44)*AA44-0.24*(L44-M44))/(1093+0.444*L44-M44))</f>
        <v>4.1077558496711847E-4</v>
      </c>
      <c r="P44" s="42">
        <f xml:space="preserve"> IF(E44="XX", "XX", ((O44/AF44)/(1-(1-(O44/AF44))*(AB44/J44)))*100)</f>
        <v>100</v>
      </c>
      <c r="Q44" s="480">
        <f xml:space="preserve"> IF(E44="XX", "XX", 0.7543*(T44*(1+1.6078*O44))/H44)</f>
        <v>11.497657829069512</v>
      </c>
      <c r="R44" s="489">
        <f xml:space="preserve"> IF(E44="XX", "XX", 1/Q44)</f>
        <v>8.6974235524012677E-2</v>
      </c>
      <c r="S44" s="57">
        <f>IF(E44="XX", "XX", 0.24*L44+O44*(1061+0.444*L44))</f>
        <v>-3.7546627898078273</v>
      </c>
      <c r="T44" s="44">
        <f>IF(E44="XX", "XX", L44+459.7)</f>
        <v>442.25286</v>
      </c>
      <c r="U44" s="133">
        <f>IF(E44="XX", "XX", M44+459.7)</f>
        <v>442.25286</v>
      </c>
      <c r="X44" s="147">
        <f t="shared" si="15"/>
        <v>9</v>
      </c>
      <c r="Y44" s="34">
        <f t="shared" si="16"/>
        <v>21</v>
      </c>
      <c r="Z44" s="41">
        <f xml:space="preserve"> IF(E44="XX", "XX", EXP((-10440.397/U44)+(-11.29465) + (-0.027022355*U44) + (0.00001289036*U44*U44) + (-0.0000000024780681*U44^3)+(6.5459673*LN(U44))) )</f>
        <v>9.3857426406654919E-3</v>
      </c>
      <c r="AA44" s="39">
        <f>IF(E44="XX", "XX", 0.62198*Z44/(J44-Z44))</f>
        <v>4.1077558496711847E-4</v>
      </c>
      <c r="AB44" s="41">
        <f xml:space="preserve"> IF(E44="XX", "XX", EXP((-10440.397/T44)+(-11.29465) + (-0.027022355*T44) + (0.00001289036*T44*T44) + (-0.0000000024780681*T44^3)+(6.5459673*LN(T44))) )</f>
        <v>9.3857426406654919E-3</v>
      </c>
      <c r="AC44" s="39">
        <f>IF(E44="XX", "XX", AB44*2.041772658 )</f>
        <v>1.9163552698735521E-2</v>
      </c>
      <c r="AD44" s="39">
        <f>IF(E44="XX", "XX", (H44*O44)/(0.62198+O44))</f>
        <v>1.9161680138208431E-2</v>
      </c>
      <c r="AE44" s="39">
        <f>IF(E44="XX", "XX", LN(AD44*0.4897705))</f>
        <v>-4.6686611853409881</v>
      </c>
      <c r="AF44" s="140">
        <f>IF(E44="XX", "XX", 0.62198*(AB44/(J44-AB44)))</f>
        <v>4.1077558496711847E-4</v>
      </c>
      <c r="AH44" s="473">
        <f xml:space="preserve"> IF(D44="XX", "XX", E44- $D$4)</f>
        <v>406.5</v>
      </c>
      <c r="AI44" s="154">
        <f xml:space="preserve"> IF(D44="XX", "XX", $AN$3 * R44 * (T44-$T$7)/$T$7 * $AP$3 * ($H$4-AH44))</f>
        <v>-7.1742720608184388E-2</v>
      </c>
      <c r="AJ44" s="154">
        <f xml:space="preserve"> IF(D44="XX", "XX", $AR$3 * $AN$4^2 * $AR$4 * R44 * K44^2/2)</f>
        <v>1.6109261574481905E-3</v>
      </c>
      <c r="AK44" s="154">
        <f xml:space="preserve"> IF(D44="XX", "XX", AI44 +AJ44)</f>
        <v>-7.0131794450736196E-2</v>
      </c>
      <c r="AL44" s="154">
        <f xml:space="preserve"> IF(D44="XX", "XX", AK44 +$AK$38)</f>
        <v>-6.5131794450736191E-2</v>
      </c>
      <c r="AM44" s="26">
        <f xml:space="preserve"> IF(D44="XX", "XX", 60 * ($AP$4 * $AN$38 * (2 * ABS(AL44)/R44)^0.5))</f>
        <v>1159.8106442546989</v>
      </c>
      <c r="AN44" s="27" t="str">
        <f>IF(D44="XX", "XX", IF(AL44&lt;0, "Exfl", "Infl"))</f>
        <v>Exfl</v>
      </c>
      <c r="AO44" s="26">
        <f t="shared" si="18"/>
        <v>1159.8106442546989</v>
      </c>
      <c r="AP44" s="474">
        <f>IF(D44="XX", "XX", AO44/$K$10)</f>
        <v>0.13807269574460701</v>
      </c>
      <c r="AQ44" s="26">
        <f t="shared" si="19"/>
        <v>-112041.08467575148</v>
      </c>
      <c r="AR44" s="392">
        <f xml:space="preserve"> IF(D44="XX", "XX", AO44 * 1.08 * 3000/1000)</f>
        <v>3757.7864873852245</v>
      </c>
    </row>
    <row r="45" spans="2:44" ht="19.05" customHeight="1" thickBot="1">
      <c r="B45" s="135">
        <f>'Input-Output'!AI26</f>
        <v>8</v>
      </c>
      <c r="C45" s="102">
        <f>'Input-Output'!AJ26</f>
        <v>5</v>
      </c>
      <c r="D45" s="102">
        <f>'Input-Output'!AK26</f>
        <v>17</v>
      </c>
      <c r="E45" s="102">
        <f>'Input-Output'!AL26</f>
        <v>771.5</v>
      </c>
      <c r="F45" s="102">
        <f>'Input-Output'!AM26</f>
        <v>235.1532</v>
      </c>
      <c r="G45" s="103">
        <f t="shared" si="17"/>
        <v>98.531972587484262</v>
      </c>
      <c r="H45" s="103">
        <f xml:space="preserve"> IF(E45="XX", "XX", G45*$AB$3)</f>
        <v>29.175813130328883</v>
      </c>
      <c r="I45" s="103">
        <f>IF(E45="XX", "XX", G45*$AD$3)</f>
        <v>395.95721267248348</v>
      </c>
      <c r="J45" s="103">
        <f xml:space="preserve"> IF(E45="XX", "XX",G45*$AF$3)</f>
        <v>14.290848787700252</v>
      </c>
      <c r="K45" s="103">
        <f xml:space="preserve"> IF(E45="XX", "XX", ( $K$65 + $U$4 * (E45-$D$4)/$F$4 ) )</f>
        <v>16.037051184110009</v>
      </c>
      <c r="L45" s="123">
        <f xml:space="preserve"> IF(E45="XX", "XX", $L$65 - 0.00356*(E45-$E$65))</f>
        <v>-16.966539999999998</v>
      </c>
      <c r="M45" s="123">
        <f>IF(E45="XX","XX ", $M$65-0.00356*(E45-$E$65))</f>
        <v>-16.966539999999998</v>
      </c>
      <c r="N45" s="124">
        <f>IF(E45="XX","XX",100.45+33.193*AE45+2.319*AE45^2+0.17074*AE45^3+1.2063*(AD45*0.4897705)^3)</f>
        <v>-20.788580856449322</v>
      </c>
      <c r="O45" s="125">
        <f>IF(E45="XX","XX ",((1093-0.556*M45)*AA45-0.24*(L45-M45))/(1093+0.444*L45-M45))</f>
        <v>4.1892245447515864E-4</v>
      </c>
      <c r="P45" s="126">
        <f xml:space="preserve"> IF(E45="XX", "XX", ((O45/AF45)/(1-(1-(O45/AF45))*(AB45/J45)))*100)</f>
        <v>100.00000000000003</v>
      </c>
      <c r="Q45" s="479">
        <f xml:space="preserve"> IF(E45="XX", "XX", 0.7543*(T45*(1+1.6078*O45))/H45)</f>
        <v>11.453966332896291</v>
      </c>
      <c r="R45" s="487">
        <f xml:space="preserve"> IF(E45="XX", "XX", 1/Q45)</f>
        <v>8.7306001339287717E-2</v>
      </c>
      <c r="S45" s="129">
        <f>IF(E45="XX", "XX", 0.24*L45+O45*(1061+0.444*L45))</f>
        <v>-3.6306486788757093</v>
      </c>
      <c r="T45" s="130">
        <f>IF(E45="XX", "XX", L45+459.7)</f>
        <v>442.73345999999998</v>
      </c>
      <c r="U45" s="131">
        <f>IF(E45="XX", "XX", M45+459.7)</f>
        <v>442.73345999999998</v>
      </c>
      <c r="X45" s="148">
        <f t="shared" si="15"/>
        <v>8</v>
      </c>
      <c r="Y45" s="128">
        <f t="shared" si="16"/>
        <v>17</v>
      </c>
      <c r="Z45" s="125">
        <f xml:space="preserve"> IF(E45="XX", "XX", EXP((-10440.397/U45)+(-11.29465) + (-0.027022355*U45) + (0.00001289036*U45*U45) + (-0.0000000024780681*U45^3)+(6.5459673*LN(U45))) )</f>
        <v>9.6188428910955106E-3</v>
      </c>
      <c r="AA45" s="142">
        <f>IF(E45="XX", "XX", 0.62198*Z45/(J45-Z45))</f>
        <v>4.1892245447515858E-4</v>
      </c>
      <c r="AB45" s="125">
        <f xml:space="preserve"> IF(E45="XX", "XX", EXP((-10440.397/T45)+(-11.29465) + (-0.027022355*T45) + (0.00001289036*T45*T45) + (-0.0000000024780681*T45^3)+(6.5459673*LN(T45))) )</f>
        <v>9.6188428910955106E-3</v>
      </c>
      <c r="AC45" s="142">
        <f>IF(E45="XX", "XX", AB45*2.041772658 )</f>
        <v>1.9639490416636488E-2</v>
      </c>
      <c r="AD45" s="142">
        <f>IF(E45="XX", "XX", (H45*O45)/(0.62198+O45))</f>
        <v>1.9637571350004924E-2</v>
      </c>
      <c r="AE45" s="142">
        <f>IF(E45="XX", "XX", LN(AD45*0.4897705))</f>
        <v>-4.644129006994846</v>
      </c>
      <c r="AF45" s="149">
        <f>IF(E45="XX", "XX", 0.62198*(AB45/(J45-AB45)))</f>
        <v>4.1892245447515858E-4</v>
      </c>
      <c r="AH45" s="475">
        <f xml:space="preserve"> IF(D45="XX", "XX", E45- $D$4)</f>
        <v>271.5</v>
      </c>
      <c r="AI45" s="1">
        <f xml:space="preserve"> IF(D45="XX", "XX", $AN$3 * R45 * (T45-$T$7)/$T$7 * $AP$3 * ($H$4-AH45))</f>
        <v>-0.11064066568932177</v>
      </c>
      <c r="AJ45" s="1">
        <f xml:space="preserve"> IF(D45="XX", "XX", $AR$3 * $AN$4^2 * $AR$4 * R45 * K45^2/2)</f>
        <v>1.5178883381343957E-3</v>
      </c>
      <c r="AK45" s="1">
        <f xml:space="preserve"> IF(D45="XX", "XX", AI45 +AJ45)</f>
        <v>-0.10912277735118737</v>
      </c>
      <c r="AL45" s="1">
        <f xml:space="preserve"> IF(D45="XX", "XX", AK45 +$AK$38)</f>
        <v>-0.10412277735118737</v>
      </c>
      <c r="AM45" s="28">
        <f xml:space="preserve"> IF(D45="XX", "XX", 60 * ($AP$4 * $AN$38 * (2 * ABS(AL45)/R45)^0.5))</f>
        <v>1463.6481950690193</v>
      </c>
      <c r="AN45" s="29" t="str">
        <f>IF(D45="XX", "XX", IF(AL45&lt;0, "Exfl", "Infl"))</f>
        <v>Exfl</v>
      </c>
      <c r="AO45" s="28">
        <f t="shared" si="18"/>
        <v>1463.6481950690193</v>
      </c>
      <c r="AP45" s="476">
        <f>IF(D45="XX", "XX", AO45/$K$10)</f>
        <v>0.17424383274631181</v>
      </c>
      <c r="AQ45" s="28">
        <f t="shared" si="19"/>
        <v>-140632.97294793857</v>
      </c>
      <c r="AR45" s="397">
        <f xml:space="preserve"> IF(D45="XX", "XX", AO45 * 1.08 * 3000/1000)</f>
        <v>4742.2201520236231</v>
      </c>
    </row>
    <row r="46" spans="2:44" ht="19.05" customHeight="1">
      <c r="B46" s="12"/>
      <c r="C46" s="12"/>
      <c r="D46" s="12"/>
      <c r="E46" s="12"/>
      <c r="F46" s="12"/>
      <c r="G46" s="14"/>
      <c r="H46" s="14"/>
      <c r="I46" s="14"/>
      <c r="J46" s="14"/>
      <c r="K46" s="14"/>
      <c r="L46" s="9"/>
      <c r="M46" s="9"/>
      <c r="N46" s="18"/>
      <c r="O46" s="19"/>
      <c r="P46" s="20"/>
      <c r="Q46" s="436"/>
      <c r="R46" s="482"/>
      <c r="S46" s="56"/>
      <c r="T46" s="22"/>
      <c r="U46" s="22"/>
      <c r="Z46" s="19"/>
      <c r="AA46" s="15"/>
      <c r="AB46" s="19"/>
      <c r="AC46" s="15"/>
      <c r="AD46" s="15"/>
      <c r="AE46" s="15"/>
      <c r="AF46" s="19"/>
      <c r="AH46" s="58"/>
      <c r="AI46" s="151"/>
      <c r="AJ46" s="151"/>
      <c r="AK46" s="151"/>
      <c r="AL46" s="151"/>
      <c r="AM46" s="153"/>
      <c r="AN46" s="16"/>
      <c r="AO46" s="153"/>
      <c r="AP46" s="152"/>
      <c r="AQ46" s="153"/>
      <c r="AR46" s="153"/>
    </row>
    <row r="47" spans="2:44" ht="19.05" customHeight="1" thickBot="1">
      <c r="B47" s="66">
        <f>'Input-Output'!AK27</f>
        <v>3</v>
      </c>
      <c r="E47" s="13" t="s">
        <v>121</v>
      </c>
      <c r="F47" s="23"/>
      <c r="G47" s="115">
        <f>'Input-Output'!AB22</f>
        <v>6</v>
      </c>
      <c r="H47" s="435" t="s">
        <v>122</v>
      </c>
      <c r="I47" s="436"/>
      <c r="J47" s="436"/>
      <c r="K47" s="116">
        <f>'Input-Output'!AB32</f>
        <v>12000</v>
      </c>
      <c r="X47" s="75">
        <f t="shared" ref="X47:X52" si="20">B47</f>
        <v>3</v>
      </c>
      <c r="Z47" s="61" t="s">
        <v>125</v>
      </c>
      <c r="AA47" s="56"/>
      <c r="AB47" s="117">
        <f>'Input-Output'!AB24</f>
        <v>0.3</v>
      </c>
      <c r="AC47" s="62" t="s">
        <v>123</v>
      </c>
      <c r="AD47" s="19"/>
      <c r="AE47" s="117">
        <f>'Input-Output'!AB25</f>
        <v>0.6</v>
      </c>
      <c r="AH47" s="68" t="s">
        <v>124</v>
      </c>
      <c r="AK47" s="118">
        <f>'Input-Output'!AB26</f>
        <v>5.0000000000000001E-3</v>
      </c>
      <c r="AL47" s="150" t="s">
        <v>141</v>
      </c>
      <c r="AM47" s="151"/>
      <c r="AN47" s="155">
        <f>'Input-Output'!AB33</f>
        <v>36</v>
      </c>
      <c r="AO47" s="180" t="s">
        <v>228</v>
      </c>
      <c r="AP47" s="152"/>
      <c r="AR47" s="155">
        <f>SUM(AR50:AR52)</f>
        <v>16434.638503862352</v>
      </c>
    </row>
    <row r="48" spans="2:44" ht="19.05" customHeight="1">
      <c r="B48" s="162" t="s">
        <v>58</v>
      </c>
      <c r="C48" s="168" t="s">
        <v>118</v>
      </c>
      <c r="D48" s="163" t="s">
        <v>117</v>
      </c>
      <c r="E48" s="169" t="s">
        <v>66</v>
      </c>
      <c r="F48" s="163"/>
      <c r="G48" s="170" t="s">
        <v>57</v>
      </c>
      <c r="H48" s="171"/>
      <c r="I48" s="171"/>
      <c r="J48" s="171"/>
      <c r="K48" s="171" t="s">
        <v>60</v>
      </c>
      <c r="L48" s="172" t="s">
        <v>20</v>
      </c>
      <c r="M48" s="172" t="s">
        <v>21</v>
      </c>
      <c r="N48" s="172" t="s">
        <v>36</v>
      </c>
      <c r="O48" s="145" t="s">
        <v>40</v>
      </c>
      <c r="P48" s="145" t="s">
        <v>37</v>
      </c>
      <c r="Q48" s="171" t="s">
        <v>38</v>
      </c>
      <c r="R48" s="485" t="s">
        <v>39</v>
      </c>
      <c r="S48" s="145" t="s">
        <v>41</v>
      </c>
      <c r="T48" s="145" t="s">
        <v>42</v>
      </c>
      <c r="U48" s="146" t="s">
        <v>43</v>
      </c>
      <c r="X48" s="166" t="str">
        <f t="shared" si="20"/>
        <v>Level</v>
      </c>
      <c r="Y48" s="163" t="str">
        <f>D48</f>
        <v>Bldg</v>
      </c>
      <c r="Z48" s="164" t="s">
        <v>142</v>
      </c>
      <c r="AA48" s="145"/>
      <c r="AB48" s="145"/>
      <c r="AC48" s="145"/>
      <c r="AD48" s="145"/>
      <c r="AE48" s="145"/>
      <c r="AF48" s="146"/>
      <c r="AH48" s="465" t="s">
        <v>76</v>
      </c>
      <c r="AI48" s="466" t="s">
        <v>68</v>
      </c>
      <c r="AJ48" s="466" t="s">
        <v>71</v>
      </c>
      <c r="AK48" s="466" t="s">
        <v>72</v>
      </c>
      <c r="AL48" s="466" t="s">
        <v>73</v>
      </c>
      <c r="AM48" s="467" t="s">
        <v>74</v>
      </c>
      <c r="AN48" s="468" t="s">
        <v>77</v>
      </c>
      <c r="AO48" s="467" t="s">
        <v>79</v>
      </c>
      <c r="AP48" s="469" t="s">
        <v>80</v>
      </c>
      <c r="AQ48" s="467" t="s">
        <v>225</v>
      </c>
      <c r="AR48" s="470" t="s">
        <v>226</v>
      </c>
    </row>
    <row r="49" spans="2:44" ht="19.05" customHeight="1">
      <c r="B49" s="173" t="s">
        <v>31</v>
      </c>
      <c r="C49" s="174" t="s">
        <v>59</v>
      </c>
      <c r="D49" s="174" t="s">
        <v>59</v>
      </c>
      <c r="E49" s="175" t="s">
        <v>14</v>
      </c>
      <c r="F49" s="175" t="s">
        <v>15</v>
      </c>
      <c r="G49" s="176" t="s">
        <v>18</v>
      </c>
      <c r="H49" s="176" t="s">
        <v>17</v>
      </c>
      <c r="I49" s="176" t="s">
        <v>19</v>
      </c>
      <c r="J49" s="176" t="s">
        <v>16</v>
      </c>
      <c r="K49" s="176" t="s">
        <v>61</v>
      </c>
      <c r="L49" s="177" t="s">
        <v>44</v>
      </c>
      <c r="M49" s="177" t="s">
        <v>44</v>
      </c>
      <c r="N49" s="177" t="s">
        <v>44</v>
      </c>
      <c r="O49" s="174" t="s">
        <v>47</v>
      </c>
      <c r="P49" s="174" t="s">
        <v>45</v>
      </c>
      <c r="Q49" s="176" t="s">
        <v>46</v>
      </c>
      <c r="R49" s="486" t="s">
        <v>22</v>
      </c>
      <c r="S49" s="174" t="s">
        <v>48</v>
      </c>
      <c r="T49" s="174" t="s">
        <v>49</v>
      </c>
      <c r="U49" s="178" t="s">
        <v>49</v>
      </c>
      <c r="X49" s="167" t="str">
        <f t="shared" si="20"/>
        <v>ID No.</v>
      </c>
      <c r="Y49" s="72" t="str">
        <f>D49</f>
        <v>Flr No.</v>
      </c>
      <c r="Z49" s="73" t="s">
        <v>50</v>
      </c>
      <c r="AA49" s="73" t="s">
        <v>51</v>
      </c>
      <c r="AB49" s="73" t="s">
        <v>52</v>
      </c>
      <c r="AC49" s="73" t="s">
        <v>53</v>
      </c>
      <c r="AD49" s="73" t="s">
        <v>54</v>
      </c>
      <c r="AE49" s="73" t="s">
        <v>55</v>
      </c>
      <c r="AF49" s="74" t="s">
        <v>56</v>
      </c>
      <c r="AH49" s="471" t="s">
        <v>140</v>
      </c>
      <c r="AI49" s="159" t="s">
        <v>19</v>
      </c>
      <c r="AJ49" s="159" t="s">
        <v>19</v>
      </c>
      <c r="AK49" s="160" t="s">
        <v>86</v>
      </c>
      <c r="AL49" s="161" t="s">
        <v>87</v>
      </c>
      <c r="AM49" s="158" t="s">
        <v>75</v>
      </c>
      <c r="AN49" s="157" t="s">
        <v>78</v>
      </c>
      <c r="AO49" s="158" t="s">
        <v>75</v>
      </c>
      <c r="AP49" s="160" t="s">
        <v>81</v>
      </c>
      <c r="AQ49" s="158" t="s">
        <v>204</v>
      </c>
      <c r="AR49" s="472" t="s">
        <v>227</v>
      </c>
    </row>
    <row r="50" spans="2:44" ht="19.05" customHeight="1">
      <c r="B50" s="134">
        <f>'Input-Output'!AI28</f>
        <v>7</v>
      </c>
      <c r="C50" s="36">
        <f>'Input-Output'!AJ28</f>
        <v>0</v>
      </c>
      <c r="D50" s="36" t="str">
        <f>'Input-Output'!AK28</f>
        <v>XX</v>
      </c>
      <c r="E50" s="36" t="str">
        <f>'Input-Output'!AL28</f>
        <v>XX</v>
      </c>
      <c r="F50" s="36" t="str">
        <f>'Input-Output'!AM28</f>
        <v>XX</v>
      </c>
      <c r="G50" s="38" t="str">
        <f t="shared" ref="G50:G52" si="21">IF(E50="XX","XX",((101325*(1-2.25577*(10^(-5))*F50)^5.2555)/1000))</f>
        <v>XX</v>
      </c>
      <c r="H50" s="38" t="str">
        <f xml:space="preserve"> IF(E50="XX", "XX", G50*$AB$3)</f>
        <v>XX</v>
      </c>
      <c r="I50" s="38" t="str">
        <f>IF(E50="XX", "XX", G50*$AD$3)</f>
        <v>XX</v>
      </c>
      <c r="J50" s="38" t="str">
        <f xml:space="preserve"> IF(E50="XX", "XX",G50*$AF$3)</f>
        <v>XX</v>
      </c>
      <c r="K50" s="38" t="str">
        <f xml:space="preserve"> IF(E50="XX", "XX", ( $K$65 + $U$4 * (E50-$D$4)/$F$4 ) )</f>
        <v>XX</v>
      </c>
      <c r="L50" s="33" t="str">
        <f xml:space="preserve"> IF(E50="XX", "XX", $L$65 - 0.00356*(E50-$E$65))</f>
        <v>XX</v>
      </c>
      <c r="M50" s="33" t="str">
        <f>IF(E50="XX","XX ", $M$65-0.00356*(E50-$E$65))</f>
        <v xml:space="preserve">XX </v>
      </c>
      <c r="N50" s="40" t="str">
        <f>IF(E50="XX","XX",100.45+33.193*AE50+2.319*AE50^2+0.17074*AE50^3+1.2063*(AD50*0.4897705)^3)</f>
        <v>XX</v>
      </c>
      <c r="O50" s="41" t="str">
        <f>IF(E50="XX","XX ",((1093-0.556*M50)*AA50-0.24*(L50-M50))/(1093+0.444*L50-M50))</f>
        <v xml:space="preserve">XX </v>
      </c>
      <c r="P50" s="42" t="str">
        <f xml:space="preserve"> IF(E50="XX", "XX", ((O50/AF50)/(1-(1-(O50/AF50))*(AB50/J50)))*100)</f>
        <v>XX</v>
      </c>
      <c r="Q50" s="480" t="str">
        <f xml:space="preserve"> IF(E50="XX", "XX", 0.7543*(T50*(1+1.6078*O50))/H50)</f>
        <v>XX</v>
      </c>
      <c r="R50" s="489" t="str">
        <f xml:space="preserve"> IF(E50="XX", "XX", 1/Q50)</f>
        <v>XX</v>
      </c>
      <c r="S50" s="57" t="str">
        <f>IF(E50="XX", "XX", 0.24*L50+O50*(1061+0.444*L50))</f>
        <v>XX</v>
      </c>
      <c r="T50" s="44" t="str">
        <f>IF(E50="XX", "XX", L50+459.7)</f>
        <v>XX</v>
      </c>
      <c r="U50" s="133" t="str">
        <f>IF(E50="XX", "XX", M50+459.7)</f>
        <v>XX</v>
      </c>
      <c r="X50" s="147">
        <f t="shared" si="20"/>
        <v>7</v>
      </c>
      <c r="Y50" s="34" t="str">
        <f>D50</f>
        <v>XX</v>
      </c>
      <c r="Z50" s="41" t="str">
        <f xml:space="preserve"> IF(E50="XX", "XX", EXP((-10440.397/U50)+(-11.29465) + (-0.027022355*U50) + (0.00001289036*U50*U50) + (-0.0000000024780681*U50^3)+(6.5459673*LN(U50))) )</f>
        <v>XX</v>
      </c>
      <c r="AA50" s="39" t="str">
        <f>IF(E50="XX", "XX", 0.62198*Z50/(J50-Z50))</f>
        <v>XX</v>
      </c>
      <c r="AB50" s="41" t="str">
        <f xml:space="preserve"> IF(E50="XX", "XX", EXP((-10440.397/T50)+(-11.29465) + (-0.027022355*T50) + (0.00001289036*T50*T50) + (-0.0000000024780681*T50^3)+(6.5459673*LN(T50))) )</f>
        <v>XX</v>
      </c>
      <c r="AC50" s="39" t="str">
        <f>IF(E50="XX", "XX", AB50*2.041772658 )</f>
        <v>XX</v>
      </c>
      <c r="AD50" s="39" t="str">
        <f>IF(E50="XX", "XX", (H50*O50)/(0.62198+O50))</f>
        <v>XX</v>
      </c>
      <c r="AE50" s="39" t="str">
        <f>IF(E50="XX", "XX", LN(AD50*0.4897705))</f>
        <v>XX</v>
      </c>
      <c r="AF50" s="140" t="str">
        <f>IF(E50="XX", "XX", 0.62198*(AB50/(J50-AB50)))</f>
        <v>XX</v>
      </c>
      <c r="AH50" s="473" t="str">
        <f xml:space="preserve"> IF(D50="XX", "XX", E50- $D$4)</f>
        <v>XX</v>
      </c>
      <c r="AI50" s="154" t="str">
        <f xml:space="preserve"> IF(D50="XX", "XX", $AN$3 * R50 * (T50-$T$7)/$T$7 * $AP$3 * ($H$4-AH50))</f>
        <v>XX</v>
      </c>
      <c r="AJ50" s="154" t="str">
        <f xml:space="preserve"> IF(D50="XX", "XX", $AR$3 * $AN$4^2 * $AR$4 * R50 * K50^2/2)</f>
        <v>XX</v>
      </c>
      <c r="AK50" s="154" t="str">
        <f xml:space="preserve"> IF(D50="XX", "XX", AI50 +AJ50)</f>
        <v>XX</v>
      </c>
      <c r="AL50" s="154" t="str">
        <f xml:space="preserve"> IF(D50="XX", "XX", AK50 +$AK$47)</f>
        <v>XX</v>
      </c>
      <c r="AM50" s="26" t="str">
        <f xml:space="preserve"> IF(D50="XX", "XX", 60 * ($AP$4 * $AN$47 * (2 * ABS(AL50)/R50)^0.5))</f>
        <v>XX</v>
      </c>
      <c r="AN50" s="27" t="str">
        <f>IF(D50="XX", "XX", IF(AL50&lt;0, "Exfl", "Infl"))</f>
        <v>XX</v>
      </c>
      <c r="AO50" s="26" t="str">
        <f t="shared" ref="AO50:AO52" si="22" xml:space="preserve"> IF(AN50="Infl", -AM50, AM50)</f>
        <v>XX</v>
      </c>
      <c r="AP50" s="474" t="str">
        <f>IF(D50="XX", "XX", AO50/$K$10)</f>
        <v>XX</v>
      </c>
      <c r="AQ50" s="26" t="str">
        <f t="shared" ref="AQ50:AQ52" si="23">IF(D50="XX", "XX", AO50*1.08*(L50-$L$8))</f>
        <v>XX</v>
      </c>
      <c r="AR50" s="392" t="str">
        <f xml:space="preserve"> IF(D50="XX", "XX", AO50 * 1.08 * 3000/1000)</f>
        <v>XX</v>
      </c>
    </row>
    <row r="51" spans="2:44" ht="19.05" customHeight="1">
      <c r="B51" s="134">
        <f>'Input-Output'!AI29</f>
        <v>6</v>
      </c>
      <c r="C51" s="36">
        <f>'Input-Output'!AJ29</f>
        <v>2</v>
      </c>
      <c r="D51" s="36">
        <f>'Input-Output'!AK29</f>
        <v>8</v>
      </c>
      <c r="E51" s="36">
        <f>'Input-Output'!AL29</f>
        <v>644</v>
      </c>
      <c r="F51" s="36">
        <f>'Input-Output'!AM29</f>
        <v>196.2912</v>
      </c>
      <c r="G51" s="38">
        <f t="shared" si="21"/>
        <v>98.989203352832334</v>
      </c>
      <c r="H51" s="38">
        <f xml:space="preserve"> IF(E51="XX", "XX", G51*$AB$3)</f>
        <v>29.311201461820861</v>
      </c>
      <c r="I51" s="38">
        <f>IF(E51="XX", "XX", G51*$AD$3)</f>
        <v>397.79462457687407</v>
      </c>
      <c r="J51" s="38">
        <f xml:space="preserve"> IF(E51="XX", "XX",G51*$AF$3)</f>
        <v>14.35716447749193</v>
      </c>
      <c r="K51" s="38">
        <f xml:space="preserve"> IF(E51="XX", "XX", ( $K$65 + $U$4 * (E51-$D$4)/$F$4 ) )</f>
        <v>15.55003819709702</v>
      </c>
      <c r="L51" s="33">
        <f xml:space="preserve"> IF(E51="XX", "XX", $L$65 - 0.00356*(E51-$E$65))</f>
        <v>-16.512640000000001</v>
      </c>
      <c r="M51" s="33">
        <f>IF(E51="XX","XX ", $M$65-0.00356*(E51-$E$65))</f>
        <v>-16.512640000000001</v>
      </c>
      <c r="N51" s="40">
        <f>IF(E51="XX","XX",100.45+33.193*AE51+2.319*AE51^2+0.17074*AE51^3+1.2063*(AD51*0.4897705)^3)</f>
        <v>-20.263870374240394</v>
      </c>
      <c r="O51" s="41">
        <f>IF(E51="XX","XX ",((1093-0.556*M51)*AA51-0.24*(L51-M51))/(1093+0.444*L51-M51))</f>
        <v>4.2674384309492589E-4</v>
      </c>
      <c r="P51" s="42">
        <f xml:space="preserve"> IF(E51="XX", "XX", ((O51/AF51)/(1-(1-(O51/AF51))*(AB51/J51)))*100)</f>
        <v>100.00000000000003</v>
      </c>
      <c r="Q51" s="480">
        <f xml:space="preserve"> IF(E51="XX", "XX", 0.7543*(T51*(1+1.6078*O51))/H51)</f>
        <v>11.412892541867175</v>
      </c>
      <c r="R51" s="489">
        <f xml:space="preserve"> IF(E51="XX", "XX", 1/Q51)</f>
        <v>8.7620206387783769E-2</v>
      </c>
      <c r="S51" s="57">
        <f>IF(E51="XX", "XX", 0.24*L51+O51*(1061+0.444*L51))</f>
        <v>-3.5133871028255239</v>
      </c>
      <c r="T51" s="44">
        <f>IF(E51="XX", "XX", L51+459.7)</f>
        <v>443.18736000000001</v>
      </c>
      <c r="U51" s="133">
        <f>IF(E51="XX", "XX", M51+459.7)</f>
        <v>443.18736000000001</v>
      </c>
      <c r="X51" s="147">
        <f t="shared" si="20"/>
        <v>6</v>
      </c>
      <c r="Y51" s="34">
        <f>D51</f>
        <v>8</v>
      </c>
      <c r="Z51" s="41">
        <f xml:space="preserve"> IF(E51="XX", "XX", EXP((-10440.397/U51)+(-11.29465) + (-0.027022355*U51) + (0.00001289036*U51*U51) + (-0.0000000024780681*U51^3)+(6.5459673*LN(U51))) )</f>
        <v>9.8437743576496282E-3</v>
      </c>
      <c r="AA51" s="39">
        <f>IF(E51="XX", "XX", 0.62198*Z51/(J51-Z51))</f>
        <v>4.2674384309492579E-4</v>
      </c>
      <c r="AB51" s="41">
        <f xml:space="preserve"> IF(E51="XX", "XX", EXP((-10440.397/T51)+(-11.29465) + (-0.027022355*T51) + (0.00001289036*T51*T51) + (-0.0000000024780681*T51^3)+(6.5459673*LN(T51))) )</f>
        <v>9.8437743576496282E-3</v>
      </c>
      <c r="AC51" s="39">
        <f>IF(E51="XX", "XX", AB51*2.041772658 )</f>
        <v>2.0098749334970526E-2</v>
      </c>
      <c r="AD51" s="39">
        <f>IF(E51="XX", "XX", (H51*O51)/(0.62198+O51))</f>
        <v>2.0096785391998148E-2</v>
      </c>
      <c r="AE51" s="39">
        <f>IF(E51="XX", "XX", LN(AD51*0.4897705))</f>
        <v>-4.6210137723964033</v>
      </c>
      <c r="AF51" s="140">
        <f>IF(E51="XX", "XX", 0.62198*(AB51/(J51-AB51)))</f>
        <v>4.2674384309492584E-4</v>
      </c>
      <c r="AH51" s="473">
        <f xml:space="preserve"> IF(D51="XX", "XX", E51- $D$4)</f>
        <v>144</v>
      </c>
      <c r="AI51" s="154">
        <f xml:space="preserve"> IF(D51="XX", "XX", $AN$3 * R51 * (T51-$T$7)/$T$7 * $AP$3 * ($H$4-AH51))</f>
        <v>-0.14727301005823018</v>
      </c>
      <c r="AJ51" s="154">
        <f xml:space="preserve"> IF(D51="XX", "XX", $AR$3 * $AN$4^2 * $AR$4 * R51 * K51^2/2)</f>
        <v>1.4322336992295289E-3</v>
      </c>
      <c r="AK51" s="154">
        <f xml:space="preserve"> IF(D51="XX", "XX", AI51 +AJ51)</f>
        <v>-0.14584077635900064</v>
      </c>
      <c r="AL51" s="154">
        <f xml:space="preserve"> IF(D51="XX", "XX", AK51 +$AK$47)</f>
        <v>-0.14084077635900064</v>
      </c>
      <c r="AM51" s="26">
        <f xml:space="preserve"> IF(D51="XX", "XX", 60 * ($AP$4 * $AN$47 * (2 * ABS(AL51)/R51)^0.5))</f>
        <v>2517.3533212481502</v>
      </c>
      <c r="AN51" s="27" t="str">
        <f>IF(D51="XX", "XX", IF(AL51&lt;0, "Exfl", "Infl"))</f>
        <v>Exfl</v>
      </c>
      <c r="AO51" s="26">
        <f t="shared" si="22"/>
        <v>2517.3533212481502</v>
      </c>
      <c r="AP51" s="474">
        <f>IF(D51="XX", "XX", AO51/$K$10)</f>
        <v>0.29968491919620838</v>
      </c>
      <c r="AQ51" s="26">
        <f t="shared" si="23"/>
        <v>-240642.99533855723</v>
      </c>
      <c r="AR51" s="392">
        <f xml:space="preserve"> IF(D51="XX", "XX", AO51 * 1.08 * 3000/1000)</f>
        <v>8156.2247608440075</v>
      </c>
    </row>
    <row r="52" spans="2:44" ht="19.05" customHeight="1" thickBot="1">
      <c r="B52" s="135">
        <f>'Input-Output'!AI30</f>
        <v>5</v>
      </c>
      <c r="C52" s="102">
        <f>'Input-Output'!AJ30</f>
        <v>1</v>
      </c>
      <c r="D52" s="102">
        <f>'Input-Output'!AK30</f>
        <v>7</v>
      </c>
      <c r="E52" s="102">
        <f>'Input-Output'!AL30</f>
        <v>629</v>
      </c>
      <c r="F52" s="102">
        <f>'Input-Output'!AM30</f>
        <v>191.7192</v>
      </c>
      <c r="G52" s="103">
        <f t="shared" si="21"/>
        <v>99.043107962775991</v>
      </c>
      <c r="H52" s="103">
        <f xml:space="preserve"> IF(E52="XX", "XX", G52*$AB$3)</f>
        <v>29.327162888201347</v>
      </c>
      <c r="I52" s="103">
        <f>IF(E52="XX", "XX", G52*$AD$3)</f>
        <v>398.01124379744772</v>
      </c>
      <c r="J52" s="103">
        <f xml:space="preserve"> IF(E52="XX", "XX",G52*$AF$3)</f>
        <v>14.364982677102018</v>
      </c>
      <c r="K52" s="103">
        <f xml:space="preserve"> IF(E52="XX", "XX", ( $K$65 + $U$4 * (E52-$D$4)/$F$4 ) )</f>
        <v>15.492742551566081</v>
      </c>
      <c r="L52" s="123">
        <f xml:space="preserve"> IF(E52="XX", "XX", $L$65 - 0.00356*(E52-$E$65))</f>
        <v>-16.459240000000001</v>
      </c>
      <c r="M52" s="123">
        <f>IF(E52="XX","XX ", $M$65-0.00356*(E52-$E$65))</f>
        <v>-16.459240000000001</v>
      </c>
      <c r="N52" s="124">
        <f>IF(E52="XX","XX",100.45+33.193*AE52+2.319*AE52^2+0.17074*AE52^3+1.2063*(AD52*0.4897705)^3)</f>
        <v>-20.202221511229325</v>
      </c>
      <c r="O52" s="125">
        <f>IF(E52="XX","XX ",((1093-0.556*M52)*AA52-0.24*(L52-M52))/(1093+0.444*L52-M52))</f>
        <v>4.2767220207698967E-4</v>
      </c>
      <c r="P52" s="126">
        <f xml:space="preserve"> IF(E52="XX", "XX", ((O52/AF52)/(1-(1-(O52/AF52))*(AB52/J52)))*100)</f>
        <v>100.00000000000003</v>
      </c>
      <c r="Q52" s="479">
        <f xml:space="preserve"> IF(E52="XX", "XX", 0.7543*(T52*(1+1.6078*O52))/H52)</f>
        <v>11.408072445489017</v>
      </c>
      <c r="R52" s="487">
        <f xml:space="preserve"> IF(E52="XX", "XX", 1/Q52)</f>
        <v>8.765722735179686E-2</v>
      </c>
      <c r="S52" s="129">
        <f>IF(E52="XX", "XX", 0.24*L52+O52*(1061+0.444*L52))</f>
        <v>-3.4995827803767137</v>
      </c>
      <c r="T52" s="130">
        <f>IF(E52="XX", "XX", L52+459.7)</f>
        <v>443.24075999999997</v>
      </c>
      <c r="U52" s="131">
        <f>IF(E52="XX", "XX", M52+459.7)</f>
        <v>443.24075999999997</v>
      </c>
      <c r="X52" s="148">
        <f t="shared" si="20"/>
        <v>5</v>
      </c>
      <c r="Y52" s="128">
        <f>D52</f>
        <v>7</v>
      </c>
      <c r="Z52" s="125">
        <f xml:space="preserve"> IF(E52="XX", "XX", EXP((-10440.397/U52)+(-11.29465) + (-0.027022355*U52) + (0.00001289036*U52*U52) + (-0.0000000024780681*U52^3)+(6.5459673*LN(U52))) )</f>
        <v>9.8705463455781763E-3</v>
      </c>
      <c r="AA52" s="142">
        <f>IF(E52="XX", "XX", 0.62198*Z52/(J52-Z52))</f>
        <v>4.2767220207698967E-4</v>
      </c>
      <c r="AB52" s="125">
        <f xml:space="preserve"> IF(E52="XX", "XX", EXP((-10440.397/T52)+(-11.29465) + (-0.027022355*T52) + (0.00001289036*T52*T52) + (-0.0000000024780681*T52^3)+(6.5459673*LN(T52))) )</f>
        <v>9.8705463455781763E-3</v>
      </c>
      <c r="AC52" s="142">
        <f>IF(E52="XX", "XX", AB52*2.041772658 )</f>
        <v>2.0153411647923343E-2</v>
      </c>
      <c r="AD52" s="142">
        <f>IF(E52="XX", "XX", (H52*O52)/(0.62198+O52))</f>
        <v>2.0151442363640238E-2</v>
      </c>
      <c r="AE52" s="142">
        <f>IF(E52="XX", "XX", LN(AD52*0.4897705))</f>
        <v>-4.6182977767718194</v>
      </c>
      <c r="AF52" s="149">
        <f>IF(E52="XX", "XX", 0.62198*(AB52/(J52-AB52)))</f>
        <v>4.2767220207698962E-4</v>
      </c>
      <c r="AH52" s="475">
        <f xml:space="preserve"> IF(D52="XX", "XX", E52- $D$4)</f>
        <v>129</v>
      </c>
      <c r="AI52" s="1">
        <f xml:space="preserve"> IF(D52="XX", "XX", $AN$3 * R52 * (T52-$T$7)/$T$7 * $AP$3 * ($H$4-AH52))</f>
        <v>-0.15157588021570487</v>
      </c>
      <c r="AJ52" s="1">
        <f xml:space="preserve"> IF(D52="XX", "XX", $AR$3 * $AN$4^2 * $AR$4 * R52 * K52^2/2)</f>
        <v>1.4222994225468436E-3</v>
      </c>
      <c r="AK52" s="1">
        <f xml:space="preserve"> IF(D52="XX", "XX", AI52 +AJ52)</f>
        <v>-0.15015358079315802</v>
      </c>
      <c r="AL52" s="1">
        <f xml:space="preserve"> IF(D52="XX", "XX", AK52 +$AK$47)</f>
        <v>-0.14515358079315802</v>
      </c>
      <c r="AM52" s="28">
        <f xml:space="preserve"> IF(D52="XX", "XX", 60 * ($AP$4 * $AN$47 * (2 * ABS(AL52)/R52)^0.5))</f>
        <v>2555.0659700673896</v>
      </c>
      <c r="AN52" s="29" t="str">
        <f>IF(D52="XX", "XX", IF(AL52&lt;0, "Exfl", "Infl"))</f>
        <v>Exfl</v>
      </c>
      <c r="AO52" s="28">
        <f t="shared" si="22"/>
        <v>2555.0659700673896</v>
      </c>
      <c r="AP52" s="476">
        <f>IF(D52="XX", "XX", AO52/$K$10)</f>
        <v>0.3041745202461178</v>
      </c>
      <c r="AQ52" s="28">
        <f t="shared" si="23"/>
        <v>-244100.72937098597</v>
      </c>
      <c r="AR52" s="397">
        <f xml:space="preserve"> IF(D52="XX", "XX", AO52 * 1.08 * 3000/1000)</f>
        <v>8278.4137430183437</v>
      </c>
    </row>
    <row r="53" spans="2:44" ht="19.05" customHeight="1">
      <c r="B53" s="12"/>
      <c r="C53" s="12"/>
      <c r="D53" s="12"/>
      <c r="E53" s="12"/>
      <c r="F53" s="12"/>
      <c r="G53" s="14"/>
      <c r="H53" s="14"/>
      <c r="I53" s="14"/>
      <c r="J53" s="14"/>
      <c r="K53" s="14"/>
      <c r="L53" s="9"/>
      <c r="M53" s="9"/>
      <c r="N53" s="18"/>
      <c r="O53" s="19"/>
      <c r="P53" s="20"/>
      <c r="Q53" s="436"/>
      <c r="R53" s="482"/>
      <c r="S53" s="56"/>
      <c r="T53" s="22"/>
      <c r="U53" s="22"/>
      <c r="Z53" s="19"/>
      <c r="AA53" s="15"/>
      <c r="AB53" s="19"/>
      <c r="AC53" s="15"/>
      <c r="AD53" s="15"/>
      <c r="AE53" s="15"/>
      <c r="AF53" s="19"/>
      <c r="AH53" s="58"/>
      <c r="AI53" s="151"/>
      <c r="AJ53" s="151"/>
      <c r="AK53" s="151"/>
      <c r="AL53" s="151"/>
      <c r="AM53" s="153"/>
      <c r="AN53" s="16"/>
      <c r="AO53" s="153"/>
      <c r="AP53" s="152"/>
      <c r="AQ53" s="153"/>
      <c r="AR53" s="153"/>
    </row>
    <row r="54" spans="2:44" ht="19.05" customHeight="1" thickBot="1">
      <c r="B54" s="66" t="str">
        <f>'Input-Output'!AK31</f>
        <v>2-A</v>
      </c>
      <c r="E54" s="13" t="s">
        <v>121</v>
      </c>
      <c r="F54" s="23"/>
      <c r="G54" s="115">
        <f>'Input-Output'!AA22</f>
        <v>3</v>
      </c>
      <c r="H54" s="435" t="s">
        <v>122</v>
      </c>
      <c r="I54" s="436"/>
      <c r="J54" s="436"/>
      <c r="K54" s="116">
        <f>'Input-Output'!AA32</f>
        <v>17280</v>
      </c>
      <c r="X54" s="75" t="str">
        <f t="shared" ref="X54:X59" si="24">B54</f>
        <v>2-A</v>
      </c>
      <c r="Z54" s="61" t="s">
        <v>125</v>
      </c>
      <c r="AA54" s="56"/>
      <c r="AB54" s="117">
        <f>'Input-Output'!AA24</f>
        <v>0.35</v>
      </c>
      <c r="AC54" s="62" t="s">
        <v>123</v>
      </c>
      <c r="AD54" s="19"/>
      <c r="AE54" s="117">
        <f>'Input-Output'!AA25</f>
        <v>0.6</v>
      </c>
      <c r="AH54" s="68" t="s">
        <v>124</v>
      </c>
      <c r="AK54" s="118">
        <f>'Input-Output'!AA26</f>
        <v>5.0000000000000001E-3</v>
      </c>
      <c r="AL54" s="150" t="s">
        <v>141</v>
      </c>
      <c r="AM54" s="151"/>
      <c r="AN54" s="155">
        <f>'Input-Output'!AA33</f>
        <v>60.48</v>
      </c>
      <c r="AO54" s="180" t="s">
        <v>228</v>
      </c>
      <c r="AP54" s="152"/>
      <c r="AR54" s="155">
        <f>SUM(AR57:AR59)</f>
        <v>17527.327141152036</v>
      </c>
    </row>
    <row r="55" spans="2:44" ht="19.05" customHeight="1">
      <c r="B55" s="162" t="s">
        <v>58</v>
      </c>
      <c r="C55" s="168" t="s">
        <v>118</v>
      </c>
      <c r="D55" s="163" t="s">
        <v>117</v>
      </c>
      <c r="E55" s="169" t="s">
        <v>66</v>
      </c>
      <c r="F55" s="163"/>
      <c r="G55" s="170" t="s">
        <v>57</v>
      </c>
      <c r="H55" s="171"/>
      <c r="I55" s="171"/>
      <c r="J55" s="171"/>
      <c r="K55" s="171" t="s">
        <v>60</v>
      </c>
      <c r="L55" s="172" t="s">
        <v>20</v>
      </c>
      <c r="M55" s="172" t="s">
        <v>21</v>
      </c>
      <c r="N55" s="172" t="s">
        <v>36</v>
      </c>
      <c r="O55" s="145" t="s">
        <v>40</v>
      </c>
      <c r="P55" s="145" t="s">
        <v>37</v>
      </c>
      <c r="Q55" s="171" t="s">
        <v>38</v>
      </c>
      <c r="R55" s="485" t="s">
        <v>39</v>
      </c>
      <c r="S55" s="145" t="s">
        <v>41</v>
      </c>
      <c r="T55" s="145" t="s">
        <v>42</v>
      </c>
      <c r="U55" s="146" t="s">
        <v>43</v>
      </c>
      <c r="X55" s="166" t="str">
        <f t="shared" si="24"/>
        <v>Level</v>
      </c>
      <c r="Y55" s="163" t="str">
        <f>D55</f>
        <v>Bldg</v>
      </c>
      <c r="Z55" s="164" t="s">
        <v>142</v>
      </c>
      <c r="AA55" s="145"/>
      <c r="AB55" s="145"/>
      <c r="AC55" s="145"/>
      <c r="AD55" s="145"/>
      <c r="AE55" s="145"/>
      <c r="AF55" s="146"/>
      <c r="AH55" s="465" t="s">
        <v>76</v>
      </c>
      <c r="AI55" s="466" t="s">
        <v>68</v>
      </c>
      <c r="AJ55" s="466" t="s">
        <v>71</v>
      </c>
      <c r="AK55" s="466" t="s">
        <v>72</v>
      </c>
      <c r="AL55" s="466" t="s">
        <v>73</v>
      </c>
      <c r="AM55" s="467" t="s">
        <v>74</v>
      </c>
      <c r="AN55" s="468" t="s">
        <v>77</v>
      </c>
      <c r="AO55" s="467" t="s">
        <v>79</v>
      </c>
      <c r="AP55" s="469" t="s">
        <v>80</v>
      </c>
      <c r="AQ55" s="467" t="s">
        <v>225</v>
      </c>
      <c r="AR55" s="470" t="s">
        <v>226</v>
      </c>
    </row>
    <row r="56" spans="2:44" ht="19.05" customHeight="1">
      <c r="B56" s="173" t="s">
        <v>31</v>
      </c>
      <c r="C56" s="174" t="s">
        <v>59</v>
      </c>
      <c r="D56" s="174" t="s">
        <v>59</v>
      </c>
      <c r="E56" s="175" t="s">
        <v>14</v>
      </c>
      <c r="F56" s="175" t="s">
        <v>15</v>
      </c>
      <c r="G56" s="176" t="s">
        <v>18</v>
      </c>
      <c r="H56" s="176" t="s">
        <v>17</v>
      </c>
      <c r="I56" s="176" t="s">
        <v>19</v>
      </c>
      <c r="J56" s="176" t="s">
        <v>16</v>
      </c>
      <c r="K56" s="176" t="s">
        <v>61</v>
      </c>
      <c r="L56" s="177" t="s">
        <v>44</v>
      </c>
      <c r="M56" s="177" t="s">
        <v>44</v>
      </c>
      <c r="N56" s="177" t="s">
        <v>44</v>
      </c>
      <c r="O56" s="174" t="s">
        <v>47</v>
      </c>
      <c r="P56" s="174" t="s">
        <v>45</v>
      </c>
      <c r="Q56" s="176" t="s">
        <v>46</v>
      </c>
      <c r="R56" s="486" t="s">
        <v>22</v>
      </c>
      <c r="S56" s="174" t="s">
        <v>48</v>
      </c>
      <c r="T56" s="174" t="s">
        <v>49</v>
      </c>
      <c r="U56" s="178" t="s">
        <v>49</v>
      </c>
      <c r="X56" s="167" t="str">
        <f t="shared" si="24"/>
        <v>ID No.</v>
      </c>
      <c r="Y56" s="72" t="str">
        <f>D56</f>
        <v>Flr No.</v>
      </c>
      <c r="Z56" s="73" t="s">
        <v>50</v>
      </c>
      <c r="AA56" s="73" t="s">
        <v>51</v>
      </c>
      <c r="AB56" s="73" t="s">
        <v>52</v>
      </c>
      <c r="AC56" s="73" t="s">
        <v>53</v>
      </c>
      <c r="AD56" s="73" t="s">
        <v>54</v>
      </c>
      <c r="AE56" s="73" t="s">
        <v>55</v>
      </c>
      <c r="AF56" s="74" t="s">
        <v>56</v>
      </c>
      <c r="AH56" s="471" t="s">
        <v>140</v>
      </c>
      <c r="AI56" s="159" t="s">
        <v>19</v>
      </c>
      <c r="AJ56" s="159" t="s">
        <v>19</v>
      </c>
      <c r="AK56" s="160" t="s">
        <v>86</v>
      </c>
      <c r="AL56" s="161" t="s">
        <v>87</v>
      </c>
      <c r="AM56" s="158" t="s">
        <v>75</v>
      </c>
      <c r="AN56" s="157" t="s">
        <v>78</v>
      </c>
      <c r="AO56" s="158" t="s">
        <v>75</v>
      </c>
      <c r="AP56" s="160" t="s">
        <v>81</v>
      </c>
      <c r="AQ56" s="158" t="s">
        <v>204</v>
      </c>
      <c r="AR56" s="472" t="s">
        <v>227</v>
      </c>
    </row>
    <row r="57" spans="2:44" ht="19.05" customHeight="1">
      <c r="B57" s="134">
        <f>'Input-Output'!AI32</f>
        <v>4</v>
      </c>
      <c r="C57" s="36">
        <f>'Input-Output'!AJ32</f>
        <v>0</v>
      </c>
      <c r="D57" s="36" t="str">
        <f>'Input-Output'!AK32</f>
        <v>XX</v>
      </c>
      <c r="E57" s="36" t="str">
        <f>'Input-Output'!AL32</f>
        <v>XX</v>
      </c>
      <c r="F57" s="36" t="str">
        <f>'Input-Output'!AM32</f>
        <v>XX</v>
      </c>
      <c r="G57" s="38" t="str">
        <f t="shared" ref="G57:G58" si="25">IF(E57="XX","XX",((101325*(1-2.25577*(10^(-5))*F57)^5.2555)/1000))</f>
        <v>XX</v>
      </c>
      <c r="H57" s="38" t="str">
        <f xml:space="preserve"> IF(E57="XX", "XX", G57*$AB$3)</f>
        <v>XX</v>
      </c>
      <c r="I57" s="38" t="str">
        <f>IF(E57="XX", "XX", G57*$AD$3)</f>
        <v>XX</v>
      </c>
      <c r="J57" s="38" t="str">
        <f xml:space="preserve"> IF(E57="XX", "XX",G57*$AF$3)</f>
        <v>XX</v>
      </c>
      <c r="K57" s="38" t="str">
        <f xml:space="preserve"> IF(E57="XX", "XX", ( $K$65 + $U$4 * (E57-$D$4)/$F$4 ) )</f>
        <v>XX</v>
      </c>
      <c r="L57" s="33" t="str">
        <f xml:space="preserve"> IF(E57="XX", "XX", $L$65 - 0.00356*(E57-$E$65))</f>
        <v>XX</v>
      </c>
      <c r="M57" s="33" t="str">
        <f>IF(E57="XX","XX ", $M$65-0.00356*(E57-$E$65))</f>
        <v xml:space="preserve">XX </v>
      </c>
      <c r="N57" s="40" t="str">
        <f>IF(E57="XX","XX",100.45+33.193*AE57+2.319*AE57^2+0.17074*AE57^3+1.2063*(AD57*0.4897705)^3)</f>
        <v>XX</v>
      </c>
      <c r="O57" s="41" t="str">
        <f>IF(E57="XX","XX ",((1093-0.556*M57)*AA57-0.24*(L57-M57))/(1093+0.444*L57-M57))</f>
        <v xml:space="preserve">XX </v>
      </c>
      <c r="P57" s="42" t="str">
        <f xml:space="preserve"> IF(E57="XX", "XX", ((O57/AF57)/(1-(1-(O57/AF57))*(AB57/J57)))*100)</f>
        <v>XX</v>
      </c>
      <c r="Q57" s="480" t="str">
        <f xml:space="preserve"> IF(E57="XX", "XX", 0.7543*(T57*(1+1.6078*O57))/H57)</f>
        <v>XX</v>
      </c>
      <c r="R57" s="489" t="str">
        <f xml:space="preserve"> IF(E57="XX", "XX", 1/Q57)</f>
        <v>XX</v>
      </c>
      <c r="S57" s="57" t="str">
        <f>IF(E57="XX", "XX", 0.24*L57+O57*(1061+0.444*L57))</f>
        <v>XX</v>
      </c>
      <c r="T57" s="44" t="str">
        <f>IF(E57="XX", "XX", L57+459.7)</f>
        <v>XX</v>
      </c>
      <c r="U57" s="133" t="str">
        <f>IF(E57="XX", "XX", M57+459.7)</f>
        <v>XX</v>
      </c>
      <c r="X57" s="147">
        <f t="shared" si="24"/>
        <v>4</v>
      </c>
      <c r="Y57" s="34" t="str">
        <f>D57</f>
        <v>XX</v>
      </c>
      <c r="Z57" s="41" t="str">
        <f xml:space="preserve"> IF(E57="XX", "XX", EXP((-10440.397/U57)+(-11.29465) + (-0.027022355*U57) + (0.00001289036*U57*U57) + (-0.0000000024780681*U57^3)+(6.5459673*LN(U57))) )</f>
        <v>XX</v>
      </c>
      <c r="AA57" s="39" t="str">
        <f>IF(E57="XX", "XX", 0.62198*Z57/(J57-Z57))</f>
        <v>XX</v>
      </c>
      <c r="AB57" s="41" t="str">
        <f xml:space="preserve"> IF(E57="XX", "XX", EXP((-10440.397/T57)+(-11.29465) + (-0.027022355*T57) + (0.00001289036*T57*T57) + (-0.0000000024780681*T57^3)+(6.5459673*LN(T57))) )</f>
        <v>XX</v>
      </c>
      <c r="AC57" s="39" t="str">
        <f>IF(E57="XX", "XX", AB57*2.041772658 )</f>
        <v>XX</v>
      </c>
      <c r="AD57" s="39" t="str">
        <f>IF(E57="XX", "XX", (H57*O57)/(0.62198+O57))</f>
        <v>XX</v>
      </c>
      <c r="AE57" s="39" t="str">
        <f>IF(E57="XX", "XX", LN(AD57*0.4897705))</f>
        <v>XX</v>
      </c>
      <c r="AF57" s="140" t="str">
        <f>IF(E57="XX", "XX", 0.62198*(AB57/(J57-AB57)))</f>
        <v>XX</v>
      </c>
      <c r="AH57" s="473" t="str">
        <f xml:space="preserve"> IF(D57="XX", "XX", E57- $D$4)</f>
        <v>XX</v>
      </c>
      <c r="AI57" s="154" t="str">
        <f xml:space="preserve"> IF(D57="XX", "XX", $AN$3 * R57 * (T57-$T$7)/$T$7 * $AP$3 * ($H$4-AH57))</f>
        <v>XX</v>
      </c>
      <c r="AJ57" s="154" t="str">
        <f xml:space="preserve"> IF(D57="XX", "XX", $AR$3 * $AN$4^2 * $AR$4 * R57 * K57^2/2)</f>
        <v>XX</v>
      </c>
      <c r="AK57" s="154" t="str">
        <f xml:space="preserve"> IF(D57="XX", "XX", AI57 +AJ57)</f>
        <v>XX</v>
      </c>
      <c r="AL57" s="154" t="str">
        <f xml:space="preserve"> IF(D57="XX", "XX", AK57 +$AK$47)</f>
        <v>XX</v>
      </c>
      <c r="AM57" s="26" t="str">
        <f xml:space="preserve"> IF(D57="XX", "XX", 60 * ($AP$4 * $AN$47 * (2 * ABS(AL57)/R57)^0.5))</f>
        <v>XX</v>
      </c>
      <c r="AN57" s="27" t="str">
        <f>IF(D57="XX", "XX", IF(AL57&lt;0, "Exfl", "Infl"))</f>
        <v>XX</v>
      </c>
      <c r="AO57" s="26" t="str">
        <f t="shared" ref="AO57:AO59" si="26" xml:space="preserve"> IF(AN57="Infl", -AM57, AM57)</f>
        <v>XX</v>
      </c>
      <c r="AP57" s="474" t="str">
        <f>IF(D57="XX", "XX", AO57/$K$10)</f>
        <v>XX</v>
      </c>
      <c r="AQ57" s="26" t="str">
        <f t="shared" ref="AQ57:AQ59" si="27">IF(D57="XX", "XX", AO57*1.08*(L57-$L$8))</f>
        <v>XX</v>
      </c>
      <c r="AR57" s="392" t="str">
        <f xml:space="preserve"> IF(D57="XX", "XX", AO57 * 1.08 * 3000/1000)</f>
        <v>XX</v>
      </c>
    </row>
    <row r="58" spans="2:44" ht="19.05" customHeight="1">
      <c r="B58" s="134">
        <f>'Input-Output'!AI33</f>
        <v>3</v>
      </c>
      <c r="C58" s="36">
        <f>'Input-Output'!AJ33</f>
        <v>2</v>
      </c>
      <c r="D58" s="36">
        <f>'Input-Output'!AK33</f>
        <v>4</v>
      </c>
      <c r="E58" s="36">
        <f>'Input-Output'!AL33</f>
        <v>576</v>
      </c>
      <c r="F58" s="36">
        <f>'Input-Output'!AM33</f>
        <v>175.56480000000002</v>
      </c>
      <c r="G58" s="38">
        <f t="shared" si="25"/>
        <v>99.233761311135282</v>
      </c>
      <c r="H58" s="38">
        <f xml:space="preserve"> IF(E58="XX", "XX", G58*$AB$3)</f>
        <v>29.383616304471516</v>
      </c>
      <c r="I58" s="38">
        <f>IF(E58="XX", "XX", G58*$AD$3)</f>
        <v>398.77739681783913</v>
      </c>
      <c r="J58" s="38">
        <f xml:space="preserve"> IF(E58="XX", "XX",G58*$AF$3)</f>
        <v>14.392634596582797</v>
      </c>
      <c r="K58" s="38">
        <f xml:space="preserve"> IF(E58="XX", "XX", ( $K$65 + $U$4 * (E58-$D$4)/$F$4 ) )</f>
        <v>15.290297937356762</v>
      </c>
      <c r="L58" s="33">
        <f xml:space="preserve"> IF(E58="XX", "XX", $L$65 - 0.00356*(E58-$E$65))</f>
        <v>-16.27056</v>
      </c>
      <c r="M58" s="33">
        <f>IF(E58="XX","XX ", $M$65-0.00356*(E58-$E$65))</f>
        <v>-16.27056</v>
      </c>
      <c r="N58" s="40">
        <f>IF(E58="XX","XX",100.45+33.193*AE58+2.319*AE58^2+0.17074*AE58^3+1.2063*(AD58*0.4897705)^3)</f>
        <v>-19.984532473002911</v>
      </c>
      <c r="O58" s="41">
        <f>IF(E58="XX","XX ",((1093-0.556*M58)*AA58-0.24*(L58-M58))/(1093+0.444*L58-M58))</f>
        <v>4.3096631412825251E-4</v>
      </c>
      <c r="P58" s="42">
        <f xml:space="preserve"> IF(E58="XX", "XX", ((O58/AF58)/(1-(1-(O58/AF58))*(AB58/J58)))*100)</f>
        <v>100.00000000000003</v>
      </c>
      <c r="Q58" s="480">
        <f xml:space="preserve"> IF(E58="XX", "XX", 0.7543*(T58*(1+1.6078*O58))/H58)</f>
        <v>11.39106181002575</v>
      </c>
      <c r="R58" s="489">
        <f xml:space="preserve"> IF(E58="XX", "XX", 1/Q58)</f>
        <v>8.7788128681722907E-2</v>
      </c>
      <c r="S58" s="57">
        <f>IF(E58="XX", "XX", 0.24*L58+O58*(1061+0.444*L58))</f>
        <v>-3.4507924968026931</v>
      </c>
      <c r="T58" s="44">
        <f>IF(E58="XX", "XX", L58+459.7)</f>
        <v>443.42944</v>
      </c>
      <c r="U58" s="133">
        <f>IF(E58="XX", "XX", M58+459.7)</f>
        <v>443.42944</v>
      </c>
      <c r="X58" s="147">
        <f t="shared" si="24"/>
        <v>3</v>
      </c>
      <c r="Y58" s="34">
        <f>D58</f>
        <v>4</v>
      </c>
      <c r="Z58" s="41">
        <f xml:space="preserve"> IF(E58="XX", "XX", EXP((-10440.397/U58)+(-11.29465) + (-0.027022355*U58) + (0.00001289036*U58*U58) + (-0.0000000024780681*U58^3)+(6.5459673*LN(U58))) )</f>
        <v>9.9656674100975888E-3</v>
      </c>
      <c r="AA58" s="39">
        <f>IF(E58="XX", "XX", 0.62198*Z58/(J58-Z58))</f>
        <v>4.3096631412825251E-4</v>
      </c>
      <c r="AB58" s="41">
        <f xml:space="preserve"> IF(E58="XX", "XX", EXP((-10440.397/T58)+(-11.29465) + (-0.027022355*T58) + (0.00001289036*T58*T58) + (-0.0000000024780681*T58^3)+(6.5459673*LN(T58))) )</f>
        <v>9.9656674100975888E-3</v>
      </c>
      <c r="AC58" s="39">
        <f>IF(E58="XX", "XX", AB58*2.041772658 )</f>
        <v>2.0347627236658932E-2</v>
      </c>
      <c r="AD58" s="39">
        <f>IF(E58="XX", "XX", (H58*O58)/(0.62198+O58))</f>
        <v>2.0345638974660636E-2</v>
      </c>
      <c r="AE58" s="39">
        <f>IF(E58="XX", "XX", LN(AD58*0.4897705))</f>
        <v>-4.6087070560014007</v>
      </c>
      <c r="AF58" s="140">
        <f>IF(E58="XX", "XX", 0.62198*(AB58/(J58-AB58)))</f>
        <v>4.3096631412825246E-4</v>
      </c>
      <c r="AH58" s="473">
        <f xml:space="preserve"> IF(D58="XX", "XX", E58- $D$4)</f>
        <v>76</v>
      </c>
      <c r="AI58" s="154">
        <f xml:space="preserve"> IF(D58="XX", "XX", $AN$3 * R58 * (T58-$T$7)/$T$7 * $AP$3 * ($H$4-AH58))</f>
        <v>-0.16676769680504228</v>
      </c>
      <c r="AJ58" s="154">
        <f xml:space="preserve"> IF(D58="XX", "XX", $AR$3 * $AN$4^2 * $AR$4 * R58 * K58^2/2)</f>
        <v>1.3874405501494071E-3</v>
      </c>
      <c r="AK58" s="154">
        <f xml:space="preserve"> IF(D58="XX", "XX", AI58 +AJ58)</f>
        <v>-0.16538025625489286</v>
      </c>
      <c r="AL58" s="154">
        <f xml:space="preserve"> IF(D58="XX", "XX", AK58 +$AK$47)</f>
        <v>-0.16038025625489286</v>
      </c>
      <c r="AM58" s="26">
        <f xml:space="preserve"> IF(D58="XX", "XX", 60 * ($AP$4 * $AN$47 * (2 * ABS(AL58)/R58)^0.5))</f>
        <v>2683.7351933335049</v>
      </c>
      <c r="AN58" s="27" t="str">
        <f>IF(D58="XX", "XX", IF(AL58&lt;0, "Exfl", "Infl"))</f>
        <v>Exfl</v>
      </c>
      <c r="AO58" s="26">
        <f t="shared" si="26"/>
        <v>2683.7351933335049</v>
      </c>
      <c r="AP58" s="474">
        <f>IF(D58="XX", "XX", AO58/$K$10)</f>
        <v>0.31949228492065535</v>
      </c>
      <c r="AQ58" s="26">
        <f t="shared" si="27"/>
        <v>-255846.39307983732</v>
      </c>
      <c r="AR58" s="392">
        <f xml:space="preserve"> IF(D58="XX", "XX", AO58 * 1.08 * 3000/1000)</f>
        <v>8695.3020264005572</v>
      </c>
    </row>
    <row r="59" spans="2:44" ht="19.05" customHeight="1" thickBot="1">
      <c r="B59" s="135">
        <f>'Input-Output'!AI34</f>
        <v>2</v>
      </c>
      <c r="C59" s="102">
        <f>'Input-Output'!AJ34</f>
        <v>1</v>
      </c>
      <c r="D59" s="102">
        <f>'Input-Output'!AK34</f>
        <v>3</v>
      </c>
      <c r="E59" s="102">
        <f>'Input-Output'!AL34</f>
        <v>558</v>
      </c>
      <c r="F59" s="102">
        <f>'Input-Output'!AM34</f>
        <v>170.07840000000002</v>
      </c>
      <c r="G59" s="103">
        <f>IF(E59="XX","XX",((101325*(1-2.25577*(10^(-5))*F59)^5.2555)/1000))</f>
        <v>99.298579063011957</v>
      </c>
      <c r="H59" s="103">
        <f xml:space="preserve"> IF(E59="XX", "XX", G59*$AB$3)</f>
        <v>29.402809167119251</v>
      </c>
      <c r="I59" s="103">
        <f>IF(E59="XX", "XX", G59*$AD$3)</f>
        <v>399.03787121707029</v>
      </c>
      <c r="J59" s="103">
        <f xml:space="preserve"> IF(E59="XX", "XX",G59*$AF$3)</f>
        <v>14.402035612988977</v>
      </c>
      <c r="K59" s="103">
        <f xml:space="preserve"> IF(E59="XX", "XX", ( $K$65 + $U$4 * (E59-$D$4)/$F$4 ) )</f>
        <v>15.221543162719634</v>
      </c>
      <c r="L59" s="123">
        <f xml:space="preserve"> IF(E59="XX", "XX", $L$65 - 0.00356*(E59-$E$65))</f>
        <v>-16.206479999999999</v>
      </c>
      <c r="M59" s="123">
        <f>IF(E59="XX","XX ", $M$65-0.00356*(E59-$E$65))</f>
        <v>-16.206479999999999</v>
      </c>
      <c r="N59" s="124">
        <f>IF(E59="XX","XX",100.45+33.193*AE59+2.319*AE59^2+0.17074*AE59^3+1.2063*(AD59*0.4897705)^3)</f>
        <v>-19.910648761150679</v>
      </c>
      <c r="O59" s="125">
        <f>IF(E59="XX","XX ",((1093-0.556*M59)*AA59-0.24*(L59-M59))/(1093+0.444*L59-M59))</f>
        <v>4.3209001622827956E-4</v>
      </c>
      <c r="P59" s="126">
        <f xml:space="preserve"> IF(E59="XX", "XX", ((O59/AF59)/(1-(1-(O59/AF59))*(AB59/J59)))*100)</f>
        <v>99.999999999999986</v>
      </c>
      <c r="Q59" s="479">
        <f xml:space="preserve"> IF(E59="XX", "XX", 0.7543*(T59*(1+1.6078*O59))/H59)</f>
        <v>11.385291828613051</v>
      </c>
      <c r="R59" s="487">
        <f xml:space="preserve"> IF(E59="XX", "XX", 1/Q59)</f>
        <v>8.7832619053895555E-2</v>
      </c>
      <c r="S59" s="129">
        <f>IF(E59="XX", "XX", 0.24*L59+O59*(1061+0.444*L59))</f>
        <v>-3.4342168730253495</v>
      </c>
      <c r="T59" s="130">
        <f>IF(E59="XX", "XX", L59+459.7)</f>
        <v>443.49351999999999</v>
      </c>
      <c r="U59" s="131">
        <f>IF(E59="XX", "XX", M59+459.7)</f>
        <v>443.49351999999999</v>
      </c>
      <c r="X59" s="148">
        <f t="shared" si="24"/>
        <v>2</v>
      </c>
      <c r="Y59" s="128">
        <f>D59</f>
        <v>3</v>
      </c>
      <c r="Z59" s="125">
        <f xml:space="preserve"> IF(E59="XX", "XX", EXP((-10440.397/U59)+(-11.29465) + (-0.027022355*U59) + (0.00001289036*U59*U59) + (-0.0000000024780681*U59^3)+(6.5459673*LN(U59))) )</f>
        <v>9.9981602246421893E-3</v>
      </c>
      <c r="AA59" s="142">
        <f>IF(E59="XX", "XX", 0.62198*Z59/(J59-Z59))</f>
        <v>4.3209001622827956E-4</v>
      </c>
      <c r="AB59" s="125">
        <f xml:space="preserve"> IF(E59="XX", "XX", EXP((-10440.397/T59)+(-11.29465) + (-0.027022355*T59) + (0.00001289036*T59*T59) + (-0.0000000024780681*T59^3)+(6.5459673*LN(T59))) )</f>
        <v>9.9981602246421893E-3</v>
      </c>
      <c r="AC59" s="142">
        <f>IF(E59="XX", "XX", AB59*2.041772658 )</f>
        <v>2.0413970176977561E-2</v>
      </c>
      <c r="AD59" s="142">
        <f>IF(E59="XX", "XX", (H59*O59)/(0.62198+O59))</f>
        <v>2.0411975432299705E-2</v>
      </c>
      <c r="AE59" s="142">
        <f>IF(E59="XX", "XX", LN(AD59*0.4897705))</f>
        <v>-4.6054518843148253</v>
      </c>
      <c r="AF59" s="149">
        <f>IF(E59="XX", "XX", 0.62198*(AB59/(J59-AB59)))</f>
        <v>4.3209001622827962E-4</v>
      </c>
      <c r="AH59" s="475">
        <f xml:space="preserve"> IF(D59="XX", "XX", E59- $D$4)</f>
        <v>58</v>
      </c>
      <c r="AI59" s="1">
        <f xml:space="preserve"> IF(D59="XX", "XX", $AN$3 * R59 * (T59-$T$7)/$T$7 * $AP$3 * ($H$4-AH59))</f>
        <v>-0.17192302216364627</v>
      </c>
      <c r="AJ59" s="1">
        <f xml:space="preserve"> IF(D59="XX", "XX", $AR$3 * $AN$4^2 * $AR$4 * R59 * K59^2/2)</f>
        <v>1.3756878322120885E-3</v>
      </c>
      <c r="AK59" s="1">
        <f xml:space="preserve"> IF(D59="XX", "XX", AI59 +AJ59)</f>
        <v>-0.17054733433143418</v>
      </c>
      <c r="AL59" s="1">
        <f xml:space="preserve"> IF(D59="XX", "XX", AK59 +$AK$47)</f>
        <v>-0.16554733433143418</v>
      </c>
      <c r="AM59" s="28">
        <f xml:space="preserve"> IF(D59="XX", "XX", 60 * ($AP$4 * $AN$47 * (2 * ABS(AL59)/R59)^0.5))</f>
        <v>2725.933677392431</v>
      </c>
      <c r="AN59" s="29" t="str">
        <f>IF(D59="XX", "XX", IF(AL59&lt;0, "Exfl", "Infl"))</f>
        <v>Exfl</v>
      </c>
      <c r="AO59" s="28">
        <f t="shared" si="26"/>
        <v>2725.933677392431</v>
      </c>
      <c r="AP59" s="476">
        <f>IF(D59="XX", "XX", AO59/$K$10)</f>
        <v>0.32451591397528939</v>
      </c>
      <c r="AQ59" s="28">
        <f t="shared" si="27"/>
        <v>-259680.6155479413</v>
      </c>
      <c r="AR59" s="397">
        <f xml:space="preserve"> IF(D59="XX", "XX", AO59 * 1.08 * 3000/1000)</f>
        <v>8832.0251147514791</v>
      </c>
    </row>
    <row r="60" spans="2:44" ht="19.05" customHeight="1">
      <c r="B60" s="12"/>
      <c r="C60" s="12"/>
      <c r="D60" s="12"/>
      <c r="E60" s="12"/>
      <c r="F60" s="12"/>
      <c r="G60" s="14"/>
      <c r="H60" s="14"/>
      <c r="I60" s="14"/>
      <c r="J60" s="14"/>
      <c r="K60" s="14"/>
      <c r="L60" s="9"/>
      <c r="M60" s="9"/>
      <c r="N60" s="18"/>
      <c r="O60" s="19"/>
      <c r="P60" s="20"/>
      <c r="Q60" s="436"/>
      <c r="R60" s="482"/>
      <c r="S60" s="56"/>
      <c r="T60" s="22"/>
      <c r="U60" s="22"/>
      <c r="Z60" s="19"/>
      <c r="AA60" s="15"/>
      <c r="AB60" s="19"/>
      <c r="AC60" s="15"/>
      <c r="AD60" s="15"/>
      <c r="AE60" s="15"/>
      <c r="AF60" s="19"/>
      <c r="AH60" s="58"/>
      <c r="AI60" s="151"/>
      <c r="AJ60" s="151"/>
      <c r="AK60" s="151"/>
      <c r="AL60" s="151"/>
      <c r="AM60" s="153"/>
      <c r="AN60" s="16"/>
      <c r="AO60" s="153"/>
      <c r="AP60" s="152"/>
      <c r="AQ60" s="153"/>
      <c r="AR60" s="153"/>
    </row>
    <row r="61" spans="2:44" ht="19.05" customHeight="1" thickBot="1">
      <c r="B61" s="66">
        <f>'Input-Output'!AK35</f>
        <v>1</v>
      </c>
      <c r="E61" s="13" t="s">
        <v>121</v>
      </c>
      <c r="F61" s="23"/>
      <c r="G61" s="115">
        <f>'Input-Output'!Z22</f>
        <v>2</v>
      </c>
      <c r="H61" s="435" t="s">
        <v>122</v>
      </c>
      <c r="I61" s="436"/>
      <c r="J61" s="436"/>
      <c r="K61" s="116">
        <f>'Input-Output'!Z32</f>
        <v>22400</v>
      </c>
      <c r="X61" s="75">
        <f>B61</f>
        <v>1</v>
      </c>
      <c r="Z61" s="61" t="s">
        <v>125</v>
      </c>
      <c r="AA61" s="56"/>
      <c r="AB61" s="117">
        <f>'Input-Output'!Z24</f>
        <v>0.4</v>
      </c>
      <c r="AC61" s="62" t="s">
        <v>123</v>
      </c>
      <c r="AD61" s="19"/>
      <c r="AE61" s="117">
        <f>'Input-Output'!Z25</f>
        <v>0.6</v>
      </c>
      <c r="AH61" s="68" t="s">
        <v>124</v>
      </c>
      <c r="AK61" s="118">
        <f>'Input-Output'!Z26</f>
        <v>0</v>
      </c>
      <c r="AL61" s="150" t="s">
        <v>141</v>
      </c>
      <c r="AM61" s="151"/>
      <c r="AN61" s="155">
        <f>'Input-Output'!Z33</f>
        <v>89.600000000000009</v>
      </c>
      <c r="AO61" s="180" t="s">
        <v>228</v>
      </c>
      <c r="AP61" s="152"/>
      <c r="AR61" s="155">
        <f>SUM(AR64:AR65)</f>
        <v>46356.263788865945</v>
      </c>
    </row>
    <row r="62" spans="2:44" ht="19.05" customHeight="1">
      <c r="B62" s="162" t="s">
        <v>58</v>
      </c>
      <c r="C62" s="168" t="s">
        <v>118</v>
      </c>
      <c r="D62" s="163" t="s">
        <v>117</v>
      </c>
      <c r="E62" s="169" t="s">
        <v>66</v>
      </c>
      <c r="F62" s="163"/>
      <c r="G62" s="170" t="s">
        <v>57</v>
      </c>
      <c r="H62" s="171"/>
      <c r="I62" s="171"/>
      <c r="J62" s="171"/>
      <c r="K62" s="171" t="s">
        <v>60</v>
      </c>
      <c r="L62" s="172" t="s">
        <v>20</v>
      </c>
      <c r="M62" s="172" t="s">
        <v>21</v>
      </c>
      <c r="N62" s="172" t="s">
        <v>36</v>
      </c>
      <c r="O62" s="145" t="s">
        <v>40</v>
      </c>
      <c r="P62" s="145" t="s">
        <v>37</v>
      </c>
      <c r="Q62" s="171" t="s">
        <v>38</v>
      </c>
      <c r="R62" s="485" t="s">
        <v>39</v>
      </c>
      <c r="S62" s="145" t="s">
        <v>41</v>
      </c>
      <c r="T62" s="145" t="s">
        <v>42</v>
      </c>
      <c r="U62" s="146" t="s">
        <v>43</v>
      </c>
      <c r="X62" s="415" t="str">
        <f>B62</f>
        <v>Level</v>
      </c>
      <c r="Y62" s="416" t="str">
        <f>D62</f>
        <v>Bldg</v>
      </c>
      <c r="Z62" s="417" t="s">
        <v>142</v>
      </c>
      <c r="AA62" s="418"/>
      <c r="AB62" s="418"/>
      <c r="AC62" s="418"/>
      <c r="AD62" s="418"/>
      <c r="AE62" s="418"/>
      <c r="AF62" s="419"/>
      <c r="AH62" s="465" t="s">
        <v>76</v>
      </c>
      <c r="AI62" s="466" t="s">
        <v>68</v>
      </c>
      <c r="AJ62" s="466" t="s">
        <v>71</v>
      </c>
      <c r="AK62" s="466" t="s">
        <v>72</v>
      </c>
      <c r="AL62" s="466" t="s">
        <v>73</v>
      </c>
      <c r="AM62" s="467" t="s">
        <v>74</v>
      </c>
      <c r="AN62" s="468" t="s">
        <v>77</v>
      </c>
      <c r="AO62" s="467" t="s">
        <v>79</v>
      </c>
      <c r="AP62" s="469" t="s">
        <v>80</v>
      </c>
      <c r="AQ62" s="467" t="s">
        <v>225</v>
      </c>
      <c r="AR62" s="470" t="s">
        <v>226</v>
      </c>
    </row>
    <row r="63" spans="2:44" ht="19.05" customHeight="1">
      <c r="B63" s="173" t="s">
        <v>31</v>
      </c>
      <c r="C63" s="174" t="s">
        <v>59</v>
      </c>
      <c r="D63" s="174" t="s">
        <v>59</v>
      </c>
      <c r="E63" s="175" t="s">
        <v>14</v>
      </c>
      <c r="F63" s="175" t="s">
        <v>15</v>
      </c>
      <c r="G63" s="176" t="s">
        <v>18</v>
      </c>
      <c r="H63" s="176" t="s">
        <v>17</v>
      </c>
      <c r="I63" s="176" t="s">
        <v>19</v>
      </c>
      <c r="J63" s="176" t="s">
        <v>16</v>
      </c>
      <c r="K63" s="176" t="s">
        <v>61</v>
      </c>
      <c r="L63" s="177" t="s">
        <v>44</v>
      </c>
      <c r="M63" s="177" t="s">
        <v>44</v>
      </c>
      <c r="N63" s="177" t="s">
        <v>44</v>
      </c>
      <c r="O63" s="174" t="s">
        <v>47</v>
      </c>
      <c r="P63" s="174" t="s">
        <v>45</v>
      </c>
      <c r="Q63" s="176" t="s">
        <v>46</v>
      </c>
      <c r="R63" s="486" t="s">
        <v>22</v>
      </c>
      <c r="S63" s="174" t="s">
        <v>48</v>
      </c>
      <c r="T63" s="174" t="s">
        <v>49</v>
      </c>
      <c r="U63" s="178" t="s">
        <v>49</v>
      </c>
      <c r="X63" s="167" t="str">
        <f>B63</f>
        <v>ID No.</v>
      </c>
      <c r="Y63" s="72" t="str">
        <f>D63</f>
        <v>Flr No.</v>
      </c>
      <c r="Z63" s="73" t="s">
        <v>50</v>
      </c>
      <c r="AA63" s="73" t="s">
        <v>51</v>
      </c>
      <c r="AB63" s="73" t="s">
        <v>52</v>
      </c>
      <c r="AC63" s="73" t="s">
        <v>53</v>
      </c>
      <c r="AD63" s="73" t="s">
        <v>54</v>
      </c>
      <c r="AE63" s="73" t="s">
        <v>55</v>
      </c>
      <c r="AF63" s="74" t="s">
        <v>56</v>
      </c>
      <c r="AH63" s="471" t="s">
        <v>140</v>
      </c>
      <c r="AI63" s="159" t="s">
        <v>19</v>
      </c>
      <c r="AJ63" s="159" t="s">
        <v>19</v>
      </c>
      <c r="AK63" s="160" t="s">
        <v>86</v>
      </c>
      <c r="AL63" s="161" t="s">
        <v>87</v>
      </c>
      <c r="AM63" s="158" t="s">
        <v>75</v>
      </c>
      <c r="AN63" s="157" t="s">
        <v>78</v>
      </c>
      <c r="AO63" s="158" t="s">
        <v>75</v>
      </c>
      <c r="AP63" s="160" t="s">
        <v>81</v>
      </c>
      <c r="AQ63" s="158" t="s">
        <v>204</v>
      </c>
      <c r="AR63" s="472" t="s">
        <v>227</v>
      </c>
    </row>
    <row r="64" spans="2:44" ht="19.05" customHeight="1">
      <c r="B64" s="134">
        <f>'Input-Output'!AI36</f>
        <v>2</v>
      </c>
      <c r="C64" s="35">
        <f>'Input-Output'!AJ36</f>
        <v>2</v>
      </c>
      <c r="D64" s="35">
        <f>'Input-Output'!AK36</f>
        <v>2</v>
      </c>
      <c r="E64" s="36">
        <f>'Input-Output'!AL36</f>
        <v>520</v>
      </c>
      <c r="F64" s="36">
        <f>'Input-Output'!AM36</f>
        <v>158.49600000000001</v>
      </c>
      <c r="G64" s="38">
        <f>IF(E64="XX","XX",((101325*(1-2.25577*(10^(-5))*F64)^5.2555)/1000))</f>
        <v>99.43552912217578</v>
      </c>
      <c r="H64" s="38">
        <f xml:space="preserve"> IF(E64="XX", "XX", G64*$AB$3)</f>
        <v>29.443360769095996</v>
      </c>
      <c r="I64" s="38">
        <f>IF(E64="XX", "XX", G64*$AD$3)</f>
        <v>399.58821403755621</v>
      </c>
      <c r="J64" s="38">
        <f xml:space="preserve"> IF(E64="XX", "XX",G64*$AF$3)</f>
        <v>14.421898531954078</v>
      </c>
      <c r="K64" s="38">
        <f xml:space="preserve"> IF(E64="XX", "XX", ( $K$65 + $U$4 * (E64-$D$4)/$F$4 ) )</f>
        <v>15.076394194041253</v>
      </c>
      <c r="L64" s="33">
        <f xml:space="preserve"> IF(E64="XX", "XX", $L$65 - 0.00356*(E64-$E$65))</f>
        <v>-16.071200000000001</v>
      </c>
      <c r="M64" s="33">
        <f>IF(E64="XX","XX ", $M$65-0.00356*(E64-$E$65))</f>
        <v>-16.071200000000001</v>
      </c>
      <c r="N64" s="40">
        <f>IF(E64="XX","XX",100.45+33.193*AE64+2.319*AE64^2+0.17074*AE64^3+1.2063*(AD64*0.4897705)^3)</f>
        <v>-19.754752341608405</v>
      </c>
      <c r="O64" s="41">
        <f>IF(E64="XX","XX ",((1093-0.556*M64)*AA64-0.24*(L64-M64))/(1093+0.444*L64-M64))</f>
        <v>4.3447054400553588E-4</v>
      </c>
      <c r="P64" s="42">
        <f xml:space="preserve"> IF(E64="XX", "XX", ((O64/AF64)/(1-(1-(O64/AF64))*(AB64/J64)))*100)</f>
        <v>100.00000000000003</v>
      </c>
      <c r="Q64" s="480">
        <f xml:space="preserve"> IF(E64="XX", "XX", 0.7543*(T64*(1+1.6078*O64))/H64)</f>
        <v>11.373122753636142</v>
      </c>
      <c r="R64" s="489">
        <f xml:space="preserve"> IF(E64="XX", "XX", 1/Q64)</f>
        <v>8.7926598671441078E-2</v>
      </c>
      <c r="S64" s="57">
        <f>IF(E64="XX", "XX", 0.24*L64+O64*(1061+0.444*L64))</f>
        <v>-3.3992149663851552</v>
      </c>
      <c r="T64" s="44">
        <f>IF(E64="XX", "XX", L64+459.7)</f>
        <v>443.62880000000001</v>
      </c>
      <c r="U64" s="133">
        <f>IF(E64="XX", "XX", M64+459.7)</f>
        <v>443.62880000000001</v>
      </c>
      <c r="X64" s="147">
        <f>B64</f>
        <v>2</v>
      </c>
      <c r="Y64" s="34">
        <f>D64</f>
        <v>2</v>
      </c>
      <c r="Z64" s="41">
        <f xml:space="preserve"> IF(E64="XX", "XX", EXP((-10440.397/U64)+(-11.29465) + (-0.027022355*U64) + (0.00001289036*U64*U64) + (-0.0000000024780681*U64^3)+(6.5459673*LN(U64))) )</f>
        <v>1.0067070091243517E-2</v>
      </c>
      <c r="AA64" s="39">
        <f>IF(E64="XX", "XX", 0.62198*Z64/(J64-Z64))</f>
        <v>4.3447054400553588E-4</v>
      </c>
      <c r="AB64" s="41">
        <f xml:space="preserve"> IF(E64="XX", "XX", EXP((-10440.397/T64)+(-11.29465) + (-0.027022355*T64) + (0.00001289036*T64*T64) + (-0.0000000024780681*T64^3)+(6.5459673*LN(T64))) )</f>
        <v>1.0067070091243517E-2</v>
      </c>
      <c r="AC64" s="39">
        <f>IF(E64="XX", "XX", AB64*2.041772658 )</f>
        <v>2.0554668458470579E-2</v>
      </c>
      <c r="AD64" s="39">
        <f>IF(E64="XX", "XX", (H64*O64)/(0.62198+O64))</f>
        <v>2.0552659965504382E-2</v>
      </c>
      <c r="AE64" s="39">
        <f>IF(E64="XX", "XX", LN(AD64*0.4897705))</f>
        <v>-4.5985832726483347</v>
      </c>
      <c r="AF64" s="140">
        <f>IF(E64="XX", "XX", 0.62198*(AB64/(J64-AB64)))</f>
        <v>4.3447054400553583E-4</v>
      </c>
      <c r="AH64" s="473">
        <f xml:space="preserve"> IF(D64="XX", "XX", E64- $D$4)</f>
        <v>20</v>
      </c>
      <c r="AI64" s="154">
        <f xml:space="preserve"> IF(D64="XX", "XX", $AN$3 * R64 * (T64-$T$7)/$T$7 * $AP$3 * ($H$4-AH64))</f>
        <v>-0.18279950680609666</v>
      </c>
      <c r="AJ64" s="154">
        <f xml:space="preserve"> IF(D64="XX", "XX", $AR$3 * $AN$4^2 * $AR$4 * R64 * K64^2/2)</f>
        <v>1.3510204960313179E-3</v>
      </c>
      <c r="AK64" s="154">
        <f xml:space="preserve"> IF(D64="XX", "XX", AI64 +AJ64)</f>
        <v>-0.18144848631006535</v>
      </c>
      <c r="AL64" s="154">
        <f xml:space="preserve"> IF(D64="XX", "XX", AK64 +$AK$61)</f>
        <v>-0.18144848631006535</v>
      </c>
      <c r="AM64" s="26">
        <f xml:space="preserve"> IF(D64="XX", "XX", 60 * ($AP$4 * $AN$61 * (2 * ABS(AL64)/R64)^0.5))</f>
        <v>7099.1140382831727</v>
      </c>
      <c r="AN64" s="27" t="str">
        <f>IF(D64="XX", "XX", IF(AL64&lt;0, "Exfl", "Infl"))</f>
        <v>Exfl</v>
      </c>
      <c r="AO64" s="26">
        <f t="shared" ref="AO64:AO65" si="28" xml:space="preserve"> IF(AN64="Infl", -AM64, AM64)</f>
        <v>7099.1140382831727</v>
      </c>
      <c r="AP64" s="474">
        <f>IF(D64="XX", "XX", AO64/$K$10)</f>
        <v>0.84513262360513963</v>
      </c>
      <c r="AQ64" s="26">
        <f t="shared" ref="AQ64:AQ65" si="29">IF(D64="XX", "XX", AO64*1.08*(L64-$L$8))</f>
        <v>-675245.69167152059</v>
      </c>
      <c r="AR64" s="392">
        <f xml:space="preserve"> IF(D64="XX", "XX", AO64 * 1.08 * 3000/1000)</f>
        <v>23001.129484037483</v>
      </c>
    </row>
    <row r="65" spans="2:44" ht="19.05" customHeight="1" thickBot="1">
      <c r="B65" s="135">
        <f>'Input-Output'!AI37</f>
        <v>1</v>
      </c>
      <c r="C65" s="101">
        <f>'Input-Output'!AJ37</f>
        <v>1</v>
      </c>
      <c r="D65" s="101">
        <f>'Input-Output'!AK37</f>
        <v>1</v>
      </c>
      <c r="E65" s="102">
        <f>'Input-Output'!AL37</f>
        <v>500</v>
      </c>
      <c r="F65" s="102">
        <f>'Input-Output'!AM37</f>
        <v>152.4</v>
      </c>
      <c r="G65" s="103">
        <f>IF(E65="XX","XX",((101325*(1-2.25577*(10^(-5))*F65)^5.2555)/1000))</f>
        <v>99.507669506043712</v>
      </c>
      <c r="H65" s="103">
        <f xml:space="preserve"> IF(E65="XX", "XX", G65*$AB$3)</f>
        <v>29.464721899941239</v>
      </c>
      <c r="I65" s="103">
        <f>IF(E65="XX", "XX", G65*$AD$3)</f>
        <v>399.87811491508211</v>
      </c>
      <c r="J65" s="103">
        <f xml:space="preserve"> IF(E65="XX", "XX",G65*$AF$3)</f>
        <v>14.432361605921546</v>
      </c>
      <c r="K65" s="103">
        <f>IF(E65="XX", "XX", 'Input-Output'!AG6)</f>
        <v>15</v>
      </c>
      <c r="L65" s="477">
        <f>'Input-Output'!$AG$8</f>
        <v>-16</v>
      </c>
      <c r="M65" s="477">
        <f>'Input-Output'!$AG$9</f>
        <v>-16</v>
      </c>
      <c r="N65" s="124">
        <f>100.45+33.193*AE65+2.319*AE65^2+0.17074*AE65^3+1.2063*(AD65*0.4897705)^3</f>
        <v>-19.672745252794211</v>
      </c>
      <c r="O65" s="125">
        <f>((1093-0.556*M65)*AA65 - 0.24*(L65-M65))/(1093 + 0.444*L65-M65)</f>
        <v>4.3572797183036684E-4</v>
      </c>
      <c r="P65" s="126">
        <f>((O65/AF65)/(1-(1-(O65/AF65))*(AB65/J65)))*100</f>
        <v>100.00000000000003</v>
      </c>
      <c r="Q65" s="479">
        <f>0.7543*(T65*(1+1.6078*O65))/H65</f>
        <v>11.366724510272752</v>
      </c>
      <c r="R65" s="487">
        <f xml:space="preserve"> 1/Q65</f>
        <v>8.7976091889641866E-2</v>
      </c>
      <c r="S65" s="129">
        <f>0.24*L65+O65*(1061+0.444*L65)</f>
        <v>-3.3807880333998637</v>
      </c>
      <c r="T65" s="130">
        <f>L65+459.7</f>
        <v>443.7</v>
      </c>
      <c r="U65" s="131">
        <f>M65+459.7</f>
        <v>443.7</v>
      </c>
      <c r="X65" s="148">
        <f>B65</f>
        <v>1</v>
      </c>
      <c r="Y65" s="128">
        <f>D65</f>
        <v>1</v>
      </c>
      <c r="Z65" s="125">
        <f xml:space="preserve"> EXP((-10440.397/U65)+(-11.29465) + (-0.027022355*U65) + (0.00001289036*U65*U65) + (-0.0000000024780681*U65^3)+(6.5459673*LN(U65)))</f>
        <v>1.0103510192074169E-2</v>
      </c>
      <c r="AA65" s="142">
        <f>0.62198*Z65/(J65-Z65)</f>
        <v>4.3572797183036684E-4</v>
      </c>
      <c r="AB65" s="125">
        <f xml:space="preserve"> EXP((-10440.397/T65)+(-11.29465) + (-0.027022355*T65) + (0.00001289036*T65*T65) + (-0.0000000024780681*T65^3)+(6.5459673*LN(T65)))</f>
        <v>1.0103510192074169E-2</v>
      </c>
      <c r="AC65" s="142">
        <f>AB65*2.041772658</f>
        <v>2.0629070860001368E-2</v>
      </c>
      <c r="AD65" s="142">
        <f>(H65*O65)/(0.62198+O65)</f>
        <v>2.0627055096827898E-2</v>
      </c>
      <c r="AE65" s="142">
        <f>LN(AD65*0.4897705)</f>
        <v>-4.5949700756095604</v>
      </c>
      <c r="AF65" s="149">
        <f>0.62198*(AB65/(J65-AB65))</f>
        <v>4.3572797183036679E-4</v>
      </c>
      <c r="AH65" s="475">
        <f xml:space="preserve"> IF(D65="XX", "XX", E65- $D$4)</f>
        <v>0</v>
      </c>
      <c r="AI65" s="1">
        <f xml:space="preserve"> IF(D65="XX", "XX", $AN$3 * R65 * (T65-$T$7)/$T$7 * $AP$3 * ($H$4-AH65))</f>
        <v>-0.18852014696785604</v>
      </c>
      <c r="AJ65" s="1">
        <f xml:space="preserve"> IF(D65="XX", "XX", $AR$3 * $AN$4^2 * $AR$4 * R65 * K65^2/2)</f>
        <v>1.3381163576414532E-3</v>
      </c>
      <c r="AK65" s="1">
        <f xml:space="preserve"> IF(D65="XX", "XX", AI65 +AJ65)</f>
        <v>-0.1871820306102146</v>
      </c>
      <c r="AL65" s="1">
        <f xml:space="preserve"> IF(D65="XX", "XX", AK65 +$AK$61)</f>
        <v>-0.1871820306102146</v>
      </c>
      <c r="AM65" s="28">
        <f xml:space="preserve"> IF(D65="XX", "XX", 60 * ($AP$4 * $AN$61 * (2 * ABS(AL65)/R65)^0.5))</f>
        <v>7208.374785440883</v>
      </c>
      <c r="AN65" s="29" t="str">
        <f>IF(D65="XX", "XX", IF(AL65&lt;0, "Exfl", "Infl"))</f>
        <v>Exfl</v>
      </c>
      <c r="AO65" s="28">
        <f t="shared" si="28"/>
        <v>7208.374785440883</v>
      </c>
      <c r="AP65" s="476">
        <f>IF(D65="XX", "XX", AO65/$K$10)</f>
        <v>0.85813985540962889</v>
      </c>
      <c r="AQ65" s="28">
        <f t="shared" si="29"/>
        <v>-685083.93960830162</v>
      </c>
      <c r="AR65" s="397">
        <f xml:space="preserve"> IF(D65="XX", "XX", AO65 * 1.08 * 3000/1000)</f>
        <v>23355.134304828462</v>
      </c>
    </row>
  </sheetData>
  <mergeCells count="2">
    <mergeCell ref="K4:L4"/>
    <mergeCell ref="O4:P4"/>
  </mergeCells>
  <pageMargins left="0.7" right="0.7" top="0.75" bottom="0.75" header="0.3" footer="0.3"/>
  <pageSetup scale="54" orientation="portrait" r:id="rId1"/>
  <headerFooter>
    <oddHeader>&amp;L&amp;18&amp;F&amp;R&amp;18&amp;A</oddHeader>
    <oddFooter>&amp;L&amp;18Varkie C. Thomas, Ph.D., P.E.&amp;C&amp;18College of Architecture&amp;R&amp;18Illinois Institute Of Technology, Chicago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Q36"/>
  <sheetViews>
    <sheetView zoomScale="70" zoomScaleNormal="70" workbookViewId="0">
      <selection activeCell="AQ2" sqref="AQ2"/>
    </sheetView>
  </sheetViews>
  <sheetFormatPr defaultColWidth="3.8984375" defaultRowHeight="21" customHeight="1"/>
  <cols>
    <col min="1" max="1" width="1.59765625" style="1268" customWidth="1"/>
    <col min="2" max="18" width="4.09765625" style="1269" customWidth="1"/>
    <col min="19" max="40" width="4.09765625" style="1270" customWidth="1"/>
    <col min="41" max="42" width="1.59765625" style="1270" customWidth="1"/>
    <col min="43" max="100" width="2.796875" style="1269" customWidth="1"/>
    <col min="101" max="102" width="1.59765625" style="1269" customWidth="1"/>
    <col min="103" max="104" width="8.3984375" style="1269" customWidth="1"/>
    <col min="105" max="105" width="9.69921875" style="1269" customWidth="1"/>
    <col min="106" max="121" width="8.3984375" style="1269" customWidth="1"/>
    <col min="122" max="123" width="1.59765625" style="1269" customWidth="1"/>
    <col min="124" max="16384" width="3.8984375" style="1269"/>
  </cols>
  <sheetData>
    <row r="1" spans="1:121" ht="10.050000000000001" customHeight="1"/>
    <row r="2" spans="1:121" ht="21" customHeight="1" thickBot="1">
      <c r="B2" s="1271" t="s">
        <v>621</v>
      </c>
      <c r="AA2" s="1272"/>
      <c r="AC2" s="1273" t="s">
        <v>622</v>
      </c>
      <c r="AE2" s="1272"/>
      <c r="AF2" s="1272"/>
      <c r="AQ2" s="1271" t="s">
        <v>621</v>
      </c>
      <c r="CE2" s="1274" t="s">
        <v>622</v>
      </c>
      <c r="CY2" s="1275" t="s">
        <v>623</v>
      </c>
      <c r="CZ2" s="1276"/>
      <c r="DA2" s="1276"/>
      <c r="DB2" s="1276"/>
      <c r="DC2" s="1276"/>
      <c r="DD2" s="1276"/>
      <c r="DE2" s="1276"/>
      <c r="DF2" s="1276"/>
      <c r="DG2" s="1277"/>
      <c r="DH2" s="1277"/>
      <c r="DI2" s="1278" t="s">
        <v>624</v>
      </c>
      <c r="DJ2" s="1279"/>
      <c r="DK2" s="1279"/>
      <c r="DL2" s="1279"/>
      <c r="DM2" s="1280" t="s">
        <v>625</v>
      </c>
      <c r="DN2" s="1277"/>
      <c r="DO2" s="1276"/>
      <c r="DP2" s="1276"/>
      <c r="DQ2" s="1276"/>
    </row>
    <row r="3" spans="1:121" s="1272" customFormat="1" ht="21" customHeight="1" thickBot="1">
      <c r="A3" s="1281"/>
      <c r="B3" s="1282" t="s">
        <v>626</v>
      </c>
      <c r="E3" s="1269"/>
      <c r="F3" s="1269"/>
      <c r="G3" s="1269"/>
      <c r="H3" s="1269"/>
      <c r="I3" s="1269"/>
      <c r="J3" s="1269"/>
      <c r="K3" s="1269"/>
      <c r="L3" s="1269"/>
      <c r="M3" s="1283"/>
      <c r="N3" s="1284" t="s">
        <v>627</v>
      </c>
      <c r="O3" s="1285"/>
      <c r="P3" s="1978" t="s">
        <v>628</v>
      </c>
      <c r="Q3" s="1979"/>
      <c r="R3" s="1283"/>
      <c r="S3" s="1284" t="s">
        <v>627</v>
      </c>
      <c r="T3" s="1285"/>
      <c r="U3" s="1978" t="s">
        <v>628</v>
      </c>
      <c r="V3" s="1978"/>
      <c r="W3" s="1286"/>
      <c r="X3" s="1287" t="s">
        <v>629</v>
      </c>
      <c r="Y3" s="1288"/>
      <c r="Z3" s="1285"/>
      <c r="AA3" s="1980" t="s">
        <v>630</v>
      </c>
      <c r="AB3" s="1981"/>
      <c r="AC3" s="1289"/>
      <c r="AD3" s="1290" t="s">
        <v>631</v>
      </c>
      <c r="AE3" s="1291"/>
      <c r="AF3" s="1291"/>
      <c r="AG3" s="1285"/>
      <c r="AH3" s="1292"/>
      <c r="AI3" s="1286" t="s">
        <v>632</v>
      </c>
      <c r="AJ3" s="1285"/>
      <c r="AK3" s="1285"/>
      <c r="AL3" s="1285"/>
      <c r="AM3" s="1285"/>
      <c r="AN3" s="1293"/>
      <c r="AO3" s="1294"/>
      <c r="AQ3" s="1295" t="s">
        <v>633</v>
      </c>
      <c r="AR3" s="1281"/>
      <c r="AS3" s="1281"/>
      <c r="AT3" s="1281"/>
      <c r="AU3" s="1281"/>
      <c r="AV3" s="1281"/>
      <c r="AW3" s="1281"/>
      <c r="AX3" s="1281"/>
      <c r="AY3" s="1281"/>
      <c r="AZ3" s="1281"/>
      <c r="BA3" s="1281"/>
      <c r="BB3" s="1281"/>
      <c r="BC3" s="1296" t="s">
        <v>633</v>
      </c>
      <c r="BD3" s="1281"/>
      <c r="BE3" s="1281"/>
      <c r="BF3" s="1281"/>
      <c r="BG3" s="1281"/>
      <c r="BH3" s="1281"/>
      <c r="BI3" s="1281"/>
      <c r="BJ3" s="1281"/>
      <c r="BK3" s="1281"/>
      <c r="BL3" s="1281"/>
      <c r="BM3" s="1281"/>
      <c r="BN3" s="1297"/>
      <c r="BQ3" s="1298" t="s">
        <v>634</v>
      </c>
      <c r="BR3" s="1269"/>
      <c r="CG3" s="1299" t="s">
        <v>634</v>
      </c>
      <c r="CY3" s="1275"/>
      <c r="CZ3" s="1276"/>
      <c r="DA3" s="1276"/>
      <c r="DB3" s="1276"/>
      <c r="DC3" s="1276"/>
      <c r="DD3" s="1276"/>
      <c r="DE3" s="1276"/>
      <c r="DF3" s="1276"/>
      <c r="DG3" s="1277"/>
      <c r="DH3" s="1276"/>
      <c r="DI3" s="1276"/>
      <c r="DJ3" s="1276"/>
      <c r="DK3" s="1276"/>
      <c r="DL3" s="1276"/>
      <c r="DM3" s="1276"/>
      <c r="DN3" s="1276"/>
      <c r="DO3" s="1276"/>
      <c r="DP3" s="1276"/>
      <c r="DQ3" s="1276"/>
    </row>
    <row r="4" spans="1:121" ht="21" customHeight="1" thickBot="1">
      <c r="D4" s="1300" t="s">
        <v>635</v>
      </c>
      <c r="K4" s="1272"/>
      <c r="M4" s="1301" t="s">
        <v>636</v>
      </c>
      <c r="N4" s="1302" t="s">
        <v>637</v>
      </c>
      <c r="O4" s="1303"/>
      <c r="P4" s="1982">
        <v>200</v>
      </c>
      <c r="Q4" s="1983"/>
      <c r="R4" s="1301" t="s">
        <v>638</v>
      </c>
      <c r="S4" s="1304" t="s">
        <v>639</v>
      </c>
      <c r="T4" s="1305"/>
      <c r="U4" s="1982">
        <v>900</v>
      </c>
      <c r="V4" s="1984"/>
      <c r="W4" s="1306" t="s">
        <v>640</v>
      </c>
      <c r="X4" s="1302" t="s">
        <v>641</v>
      </c>
      <c r="Y4" s="1305"/>
      <c r="Z4" s="1305"/>
      <c r="AA4" s="1985">
        <v>0.05</v>
      </c>
      <c r="AB4" s="1986"/>
      <c r="AC4" s="1306" t="s">
        <v>642</v>
      </c>
      <c r="AD4" s="1307" t="s">
        <v>641</v>
      </c>
      <c r="AE4" s="1305"/>
      <c r="AF4" s="1305"/>
      <c r="AG4" s="1971">
        <v>1</v>
      </c>
      <c r="AH4" s="1972"/>
      <c r="AI4" s="1306" t="s">
        <v>643</v>
      </c>
      <c r="AJ4" s="1307" t="s">
        <v>644</v>
      </c>
      <c r="AK4" s="1305"/>
      <c r="AL4" s="1305"/>
      <c r="AM4" s="1973">
        <v>100</v>
      </c>
      <c r="AN4" s="1974"/>
      <c r="AP4" s="1294"/>
      <c r="AQ4" s="1308" t="s">
        <v>645</v>
      </c>
      <c r="AR4" s="1281"/>
      <c r="AS4" s="1281"/>
      <c r="AT4" s="1281"/>
      <c r="AU4" s="1281"/>
      <c r="AV4" s="1297"/>
      <c r="AW4" s="1308" t="s">
        <v>646</v>
      </c>
      <c r="AX4" s="1281"/>
      <c r="AY4" s="1281"/>
      <c r="AZ4" s="1281"/>
      <c r="BA4" s="1281"/>
      <c r="BB4" s="1297"/>
      <c r="BC4" s="1308" t="s">
        <v>647</v>
      </c>
      <c r="BD4" s="1281"/>
      <c r="BE4" s="1281"/>
      <c r="BF4" s="1281"/>
      <c r="BG4" s="1281"/>
      <c r="BH4" s="1297"/>
      <c r="BI4" s="1308" t="s">
        <v>648</v>
      </c>
      <c r="BJ4" s="1281"/>
      <c r="BK4" s="1281"/>
      <c r="BL4" s="1281"/>
      <c r="BM4" s="1281"/>
      <c r="BN4" s="1297"/>
      <c r="BO4" s="1281"/>
      <c r="BP4" s="1281"/>
      <c r="BQ4" s="1309"/>
      <c r="BR4" s="1310" t="s">
        <v>645</v>
      </c>
      <c r="BS4" s="1272"/>
      <c r="BT4" s="1272"/>
      <c r="BU4" s="1272"/>
      <c r="BV4" s="1272"/>
      <c r="BW4" s="1272"/>
      <c r="BX4" s="1297"/>
      <c r="BY4" s="1309"/>
      <c r="BZ4" s="1310" t="s">
        <v>646</v>
      </c>
      <c r="CA4" s="1272"/>
      <c r="CB4" s="1272"/>
      <c r="CC4" s="1272"/>
      <c r="CD4" s="1272"/>
      <c r="CE4" s="1272"/>
      <c r="CF4" s="1297"/>
      <c r="CG4" s="1309"/>
      <c r="CH4" s="1310" t="s">
        <v>647</v>
      </c>
      <c r="CI4" s="1272"/>
      <c r="CJ4" s="1272"/>
      <c r="CK4" s="1272"/>
      <c r="CL4" s="1272"/>
      <c r="CM4" s="1272"/>
      <c r="CN4" s="1297"/>
      <c r="CO4" s="1309"/>
      <c r="CP4" s="1310" t="s">
        <v>648</v>
      </c>
      <c r="CQ4" s="1272"/>
      <c r="CR4" s="1272"/>
      <c r="CS4" s="1272"/>
      <c r="CT4" s="1272"/>
      <c r="CU4" s="1272"/>
      <c r="CV4" s="1297"/>
      <c r="CX4" s="1311"/>
      <c r="CY4" s="1975" t="s">
        <v>649</v>
      </c>
      <c r="CZ4" s="1959" t="s">
        <v>650</v>
      </c>
      <c r="DA4" s="1959" t="s">
        <v>651</v>
      </c>
      <c r="DB4" s="1959" t="s">
        <v>652</v>
      </c>
      <c r="DC4" s="1959" t="s">
        <v>653</v>
      </c>
      <c r="DD4" s="1959" t="s">
        <v>654</v>
      </c>
      <c r="DE4" s="1959" t="s">
        <v>655</v>
      </c>
      <c r="DF4" s="1959" t="s">
        <v>656</v>
      </c>
      <c r="DG4" s="1959" t="s">
        <v>657</v>
      </c>
      <c r="DH4" s="1959" t="s">
        <v>658</v>
      </c>
      <c r="DI4" s="1959" t="s">
        <v>659</v>
      </c>
      <c r="DJ4" s="1959" t="s">
        <v>660</v>
      </c>
      <c r="DK4" s="1959" t="s">
        <v>661</v>
      </c>
      <c r="DL4" s="1969" t="s">
        <v>662</v>
      </c>
      <c r="DM4" s="1959" t="s">
        <v>663</v>
      </c>
      <c r="DN4" s="1959" t="s">
        <v>664</v>
      </c>
      <c r="DO4" s="1959" t="s">
        <v>665</v>
      </c>
      <c r="DP4" s="1959" t="s">
        <v>666</v>
      </c>
      <c r="DQ4" s="1962" t="s">
        <v>667</v>
      </c>
    </row>
    <row r="5" spans="1:121" ht="21" customHeight="1" thickTop="1">
      <c r="B5" s="1312"/>
      <c r="C5" s="1313"/>
      <c r="D5" s="1314" t="s">
        <v>668</v>
      </c>
      <c r="F5" s="1315"/>
      <c r="L5" s="1316"/>
      <c r="M5" s="1317" t="s">
        <v>669</v>
      </c>
      <c r="N5" s="1318" t="s">
        <v>670</v>
      </c>
      <c r="O5" s="1268"/>
      <c r="P5" s="1965">
        <v>100</v>
      </c>
      <c r="Q5" s="1966"/>
      <c r="R5" s="1301" t="s">
        <v>671</v>
      </c>
      <c r="S5" s="1319" t="s">
        <v>672</v>
      </c>
      <c r="T5" s="1320"/>
      <c r="U5" s="1965">
        <v>1300</v>
      </c>
      <c r="V5" s="1967"/>
      <c r="W5" s="1306" t="s">
        <v>673</v>
      </c>
      <c r="X5" s="1321" t="s">
        <v>674</v>
      </c>
      <c r="Y5" s="1320"/>
      <c r="Z5" s="1320"/>
      <c r="AA5" s="1953">
        <v>0.4</v>
      </c>
      <c r="AB5" s="1954"/>
      <c r="AC5" s="1306" t="s">
        <v>675</v>
      </c>
      <c r="AD5" s="1321" t="s">
        <v>674</v>
      </c>
      <c r="AE5" s="1320"/>
      <c r="AF5" s="1320"/>
      <c r="AG5" s="1955">
        <v>1</v>
      </c>
      <c r="AH5" s="1956"/>
      <c r="AI5" s="1306" t="s">
        <v>676</v>
      </c>
      <c r="AJ5" s="1321" t="s">
        <v>677</v>
      </c>
      <c r="AK5" s="1320"/>
      <c r="AL5" s="1320"/>
      <c r="AM5" s="1957">
        <v>500</v>
      </c>
      <c r="AN5" s="1958"/>
      <c r="AQ5" s="1322" t="s">
        <v>678</v>
      </c>
      <c r="AR5" s="1268"/>
      <c r="AS5" s="1268"/>
      <c r="AT5" s="1268"/>
      <c r="AU5" s="1858">
        <f>AB30</f>
        <v>25</v>
      </c>
      <c r="AV5" s="1968"/>
      <c r="AW5" s="1322" t="s">
        <v>678</v>
      </c>
      <c r="AX5" s="1268"/>
      <c r="AY5" s="1268"/>
      <c r="AZ5" s="1268"/>
      <c r="BA5" s="1858">
        <f>AD30</f>
        <v>40</v>
      </c>
      <c r="BB5" s="1968"/>
      <c r="BC5" s="1322" t="s">
        <v>678</v>
      </c>
      <c r="BD5" s="1268"/>
      <c r="BE5" s="1268"/>
      <c r="BF5" s="1268"/>
      <c r="BG5" s="1858">
        <f>AF30</f>
        <v>10</v>
      </c>
      <c r="BH5" s="1968"/>
      <c r="BI5" s="1322" t="s">
        <v>678</v>
      </c>
      <c r="BJ5" s="1268"/>
      <c r="BK5" s="1268"/>
      <c r="BL5" s="1268"/>
      <c r="BM5" s="1858">
        <f>AH30</f>
        <v>3</v>
      </c>
      <c r="BN5" s="1968"/>
      <c r="BO5" s="1323"/>
      <c r="BP5" s="1323"/>
      <c r="BQ5" s="1324"/>
      <c r="BR5" s="1325" t="s">
        <v>678</v>
      </c>
      <c r="BV5" s="1858">
        <f>AB30</f>
        <v>25</v>
      </c>
      <c r="BW5" s="1949"/>
      <c r="BX5" s="1326"/>
      <c r="BY5" s="1324"/>
      <c r="BZ5" s="1325" t="s">
        <v>678</v>
      </c>
      <c r="CD5" s="1858">
        <f>AD30</f>
        <v>40</v>
      </c>
      <c r="CE5" s="1949"/>
      <c r="CF5" s="1326"/>
      <c r="CG5" s="1324"/>
      <c r="CH5" s="1325" t="s">
        <v>678</v>
      </c>
      <c r="CL5" s="1858">
        <f>AF30</f>
        <v>10</v>
      </c>
      <c r="CM5" s="1949"/>
      <c r="CN5" s="1326"/>
      <c r="CO5" s="1324"/>
      <c r="CP5" s="1325" t="s">
        <v>678</v>
      </c>
      <c r="CT5" s="1858">
        <f>AH30</f>
        <v>3</v>
      </c>
      <c r="CU5" s="1949"/>
      <c r="CV5" s="1326"/>
      <c r="CY5" s="1976"/>
      <c r="CZ5" s="1960"/>
      <c r="DA5" s="1960"/>
      <c r="DB5" s="1960"/>
      <c r="DC5" s="1960"/>
      <c r="DD5" s="1960"/>
      <c r="DE5" s="1960"/>
      <c r="DF5" s="1960"/>
      <c r="DG5" s="1960"/>
      <c r="DH5" s="1960"/>
      <c r="DI5" s="1960"/>
      <c r="DJ5" s="1960"/>
      <c r="DK5" s="1960"/>
      <c r="DL5" s="1970"/>
      <c r="DM5" s="1960"/>
      <c r="DN5" s="1960"/>
      <c r="DO5" s="1960"/>
      <c r="DP5" s="1960"/>
      <c r="DQ5" s="1963"/>
    </row>
    <row r="6" spans="1:121" ht="21" customHeight="1" thickBot="1">
      <c r="B6" s="1327" t="s">
        <v>679</v>
      </c>
      <c r="C6" s="1328"/>
      <c r="D6" s="1329"/>
      <c r="E6" s="1330"/>
      <c r="F6" s="1331"/>
      <c r="G6" s="1332" t="s">
        <v>680</v>
      </c>
      <c r="M6" s="1333" t="s">
        <v>681</v>
      </c>
      <c r="N6" s="1334" t="s">
        <v>682</v>
      </c>
      <c r="O6" s="1335"/>
      <c r="P6" s="1950">
        <v>650</v>
      </c>
      <c r="Q6" s="1951"/>
      <c r="R6" s="1336" t="s">
        <v>683</v>
      </c>
      <c r="S6" s="1337" t="s">
        <v>684</v>
      </c>
      <c r="T6" s="1338"/>
      <c r="U6" s="1950">
        <v>1600</v>
      </c>
      <c r="V6" s="1952"/>
      <c r="W6" s="1306" t="s">
        <v>685</v>
      </c>
      <c r="X6" s="1321" t="s">
        <v>686</v>
      </c>
      <c r="Y6" s="1320"/>
      <c r="Z6" s="1320"/>
      <c r="AA6" s="1953">
        <v>0.7</v>
      </c>
      <c r="AB6" s="1954"/>
      <c r="AC6" s="1306" t="s">
        <v>687</v>
      </c>
      <c r="AD6" s="1321" t="s">
        <v>686</v>
      </c>
      <c r="AE6" s="1320"/>
      <c r="AF6" s="1320"/>
      <c r="AG6" s="1955">
        <v>1</v>
      </c>
      <c r="AH6" s="1956"/>
      <c r="AI6" s="1306" t="s">
        <v>688</v>
      </c>
      <c r="AJ6" s="1321" t="s">
        <v>689</v>
      </c>
      <c r="AK6" s="1320"/>
      <c r="AL6" s="1320"/>
      <c r="AM6" s="1957">
        <v>900</v>
      </c>
      <c r="AN6" s="1958"/>
      <c r="AO6" s="1316"/>
      <c r="AQ6" s="1339"/>
      <c r="AR6" s="1943" t="s">
        <v>690</v>
      </c>
      <c r="AS6" s="1340"/>
      <c r="AT6" s="1947" t="s">
        <v>691</v>
      </c>
      <c r="AU6" s="1341"/>
      <c r="AV6" s="1342"/>
      <c r="AW6" s="1339"/>
      <c r="AX6" s="1943" t="s">
        <v>690</v>
      </c>
      <c r="AY6" s="1340"/>
      <c r="AZ6" s="1947" t="s">
        <v>691</v>
      </c>
      <c r="BA6" s="1341"/>
      <c r="BB6" s="1342"/>
      <c r="BC6" s="1343"/>
      <c r="BD6" s="1943" t="s">
        <v>690</v>
      </c>
      <c r="BE6" s="1340"/>
      <c r="BF6" s="1947" t="s">
        <v>691</v>
      </c>
      <c r="BG6" s="1341"/>
      <c r="BH6" s="1342"/>
      <c r="BI6" s="1270"/>
      <c r="BJ6" s="1943" t="s">
        <v>690</v>
      </c>
      <c r="BK6" s="1340"/>
      <c r="BL6" s="1947" t="s">
        <v>691</v>
      </c>
      <c r="BM6" s="1341"/>
      <c r="BN6" s="1342"/>
      <c r="BO6" s="1320"/>
      <c r="BP6" s="1320"/>
      <c r="BQ6" s="1324"/>
      <c r="BR6" s="1943" t="s">
        <v>644</v>
      </c>
      <c r="BS6" s="1945" t="s">
        <v>692</v>
      </c>
      <c r="BT6" s="1941" t="s">
        <v>693</v>
      </c>
      <c r="BU6" s="1941" t="s">
        <v>694</v>
      </c>
      <c r="BV6" s="1344"/>
      <c r="BW6" s="1927" t="s">
        <v>695</v>
      </c>
      <c r="BX6" s="1326"/>
      <c r="BY6" s="1324"/>
      <c r="BZ6" s="1943" t="s">
        <v>644</v>
      </c>
      <c r="CA6" s="1945" t="s">
        <v>692</v>
      </c>
      <c r="CB6" s="1941" t="s">
        <v>693</v>
      </c>
      <c r="CC6" s="1941" t="s">
        <v>694</v>
      </c>
      <c r="CD6" s="1344"/>
      <c r="CE6" s="1927" t="s">
        <v>695</v>
      </c>
      <c r="CF6" s="1326"/>
      <c r="CG6" s="1324"/>
      <c r="CH6" s="1943" t="s">
        <v>644</v>
      </c>
      <c r="CI6" s="1945" t="s">
        <v>692</v>
      </c>
      <c r="CJ6" s="1941" t="s">
        <v>693</v>
      </c>
      <c r="CK6" s="1941" t="s">
        <v>694</v>
      </c>
      <c r="CL6" s="1344"/>
      <c r="CM6" s="1927" t="s">
        <v>695</v>
      </c>
      <c r="CN6" s="1326"/>
      <c r="CO6" s="1324"/>
      <c r="CP6" s="1943" t="s">
        <v>644</v>
      </c>
      <c r="CQ6" s="1945" t="s">
        <v>692</v>
      </c>
      <c r="CR6" s="1941" t="s">
        <v>693</v>
      </c>
      <c r="CS6" s="1941" t="s">
        <v>694</v>
      </c>
      <c r="CT6" s="1344"/>
      <c r="CU6" s="1927" t="s">
        <v>695</v>
      </c>
      <c r="CV6" s="1326"/>
      <c r="CY6" s="1976"/>
      <c r="CZ6" s="1960"/>
      <c r="DA6" s="1960"/>
      <c r="DB6" s="1960"/>
      <c r="DC6" s="1960"/>
      <c r="DD6" s="1960"/>
      <c r="DE6" s="1960"/>
      <c r="DF6" s="1960"/>
      <c r="DG6" s="1960"/>
      <c r="DH6" s="1960"/>
      <c r="DI6" s="1960"/>
      <c r="DJ6" s="1960"/>
      <c r="DK6" s="1960"/>
      <c r="DL6" s="1970"/>
      <c r="DM6" s="1960"/>
      <c r="DN6" s="1960"/>
      <c r="DO6" s="1960"/>
      <c r="DP6" s="1960"/>
      <c r="DQ6" s="1963"/>
    </row>
    <row r="7" spans="1:121" ht="21" customHeight="1" thickBot="1">
      <c r="B7" s="1345" t="s">
        <v>696</v>
      </c>
      <c r="C7" s="1346"/>
      <c r="D7" s="1347"/>
      <c r="E7" s="1329"/>
      <c r="F7" s="1348"/>
      <c r="G7" s="1349"/>
      <c r="H7" s="1350" t="s">
        <v>697</v>
      </c>
      <c r="I7" s="1351"/>
      <c r="J7" s="1352"/>
      <c r="K7" s="1929">
        <v>4</v>
      </c>
      <c r="L7" s="1930"/>
      <c r="M7" s="1353" t="s">
        <v>698</v>
      </c>
      <c r="N7" s="1338"/>
      <c r="O7" s="1338"/>
      <c r="P7" s="1335"/>
      <c r="Q7" s="1335"/>
      <c r="R7" s="1338"/>
      <c r="S7" s="1338"/>
      <c r="T7" s="1338"/>
      <c r="U7" s="1931">
        <v>1.5</v>
      </c>
      <c r="V7" s="1932"/>
      <c r="W7" s="1354" t="s">
        <v>699</v>
      </c>
      <c r="X7" s="1355" t="s">
        <v>700</v>
      </c>
      <c r="Y7" s="1338"/>
      <c r="Z7" s="1338"/>
      <c r="AA7" s="1933">
        <v>0.2</v>
      </c>
      <c r="AB7" s="1934"/>
      <c r="AC7" s="1354" t="s">
        <v>701</v>
      </c>
      <c r="AD7" s="1355" t="s">
        <v>702</v>
      </c>
      <c r="AE7" s="1338"/>
      <c r="AF7" s="1338"/>
      <c r="AG7" s="1935">
        <v>1</v>
      </c>
      <c r="AH7" s="1936"/>
      <c r="AI7" s="1354" t="s">
        <v>703</v>
      </c>
      <c r="AJ7" s="1355" t="s">
        <v>704</v>
      </c>
      <c r="AK7" s="1338"/>
      <c r="AL7" s="1338"/>
      <c r="AM7" s="1937">
        <v>100</v>
      </c>
      <c r="AN7" s="1938"/>
      <c r="AP7" s="1356"/>
      <c r="AQ7" s="1309"/>
      <c r="AR7" s="1943"/>
      <c r="AS7" s="1357"/>
      <c r="AT7" s="1947"/>
      <c r="AU7" s="1358"/>
      <c r="AV7" s="1359"/>
      <c r="AW7" s="1268"/>
      <c r="AX7" s="1943"/>
      <c r="AY7" s="1357"/>
      <c r="AZ7" s="1947"/>
      <c r="BA7" s="1358"/>
      <c r="BB7" s="1359"/>
      <c r="BC7" s="1268"/>
      <c r="BD7" s="1943"/>
      <c r="BE7" s="1357"/>
      <c r="BF7" s="1947"/>
      <c r="BG7" s="1358"/>
      <c r="BH7" s="1359"/>
      <c r="BI7" s="1268"/>
      <c r="BJ7" s="1943"/>
      <c r="BK7" s="1357"/>
      <c r="BL7" s="1947"/>
      <c r="BM7" s="1358"/>
      <c r="BN7" s="1326"/>
      <c r="BO7" s="1268"/>
      <c r="BP7" s="1268"/>
      <c r="BQ7" s="1309"/>
      <c r="BR7" s="1943"/>
      <c r="BS7" s="1945"/>
      <c r="BT7" s="1941"/>
      <c r="BU7" s="1941"/>
      <c r="BV7" s="1344"/>
      <c r="BW7" s="1927"/>
      <c r="BX7" s="1326"/>
      <c r="BY7" s="1309"/>
      <c r="BZ7" s="1943"/>
      <c r="CA7" s="1945"/>
      <c r="CB7" s="1941"/>
      <c r="CC7" s="1941"/>
      <c r="CD7" s="1344"/>
      <c r="CE7" s="1927"/>
      <c r="CF7" s="1326"/>
      <c r="CG7" s="1309"/>
      <c r="CH7" s="1943"/>
      <c r="CI7" s="1945"/>
      <c r="CJ7" s="1941"/>
      <c r="CK7" s="1941"/>
      <c r="CL7" s="1344"/>
      <c r="CM7" s="1927"/>
      <c r="CN7" s="1326"/>
      <c r="CO7" s="1309"/>
      <c r="CP7" s="1943"/>
      <c r="CQ7" s="1945"/>
      <c r="CR7" s="1941"/>
      <c r="CS7" s="1941"/>
      <c r="CT7" s="1344"/>
      <c r="CU7" s="1927"/>
      <c r="CV7" s="1326"/>
      <c r="CY7" s="1976"/>
      <c r="CZ7" s="1960"/>
      <c r="DA7" s="1960"/>
      <c r="DB7" s="1960"/>
      <c r="DC7" s="1960"/>
      <c r="DD7" s="1960"/>
      <c r="DE7" s="1960"/>
      <c r="DF7" s="1960"/>
      <c r="DG7" s="1960"/>
      <c r="DH7" s="1960"/>
      <c r="DI7" s="1960"/>
      <c r="DJ7" s="1960"/>
      <c r="DK7" s="1960"/>
      <c r="DL7" s="1970"/>
      <c r="DM7" s="1960"/>
      <c r="DN7" s="1960"/>
      <c r="DO7" s="1960"/>
      <c r="DP7" s="1960"/>
      <c r="DQ7" s="1963"/>
    </row>
    <row r="8" spans="1:121" ht="21" customHeight="1" thickBot="1">
      <c r="B8" s="1360" t="s">
        <v>705</v>
      </c>
      <c r="C8" s="1361"/>
      <c r="D8" s="1362"/>
      <c r="E8" s="1363"/>
      <c r="F8" s="1363"/>
      <c r="G8" s="1363"/>
      <c r="H8" s="1364"/>
      <c r="I8" s="1365"/>
      <c r="J8" s="1360" t="s">
        <v>706</v>
      </c>
      <c r="K8" s="1363"/>
      <c r="L8" s="1366"/>
      <c r="M8" s="1367"/>
      <c r="N8" s="1367"/>
      <c r="O8" s="1367"/>
      <c r="P8" s="1360" t="s">
        <v>707</v>
      </c>
      <c r="Q8" s="1363"/>
      <c r="R8" s="1347"/>
      <c r="S8" s="1368"/>
      <c r="T8" s="1368"/>
      <c r="U8" s="1368"/>
      <c r="V8" s="1368"/>
      <c r="W8" s="1368"/>
      <c r="X8" s="1368"/>
      <c r="Y8" s="1368"/>
      <c r="Z8" s="1368"/>
      <c r="AA8" s="1368"/>
      <c r="AB8" s="1368"/>
      <c r="AC8" s="1368"/>
      <c r="AD8" s="1368"/>
      <c r="AE8" s="1368"/>
      <c r="AF8" s="1368"/>
      <c r="AG8" s="1368"/>
      <c r="AH8" s="1368"/>
      <c r="AI8" s="1368"/>
      <c r="AJ8" s="1368"/>
      <c r="AK8" s="1368"/>
      <c r="AL8" s="1368"/>
      <c r="AM8" s="1368"/>
      <c r="AN8" s="1368"/>
      <c r="AQ8" s="1309"/>
      <c r="AR8" s="1943"/>
      <c r="AS8" s="1357"/>
      <c r="AT8" s="1947"/>
      <c r="AU8" s="1358"/>
      <c r="AV8" s="1359"/>
      <c r="AW8" s="1268"/>
      <c r="AX8" s="1943"/>
      <c r="AY8" s="1357"/>
      <c r="AZ8" s="1947"/>
      <c r="BA8" s="1358"/>
      <c r="BB8" s="1359"/>
      <c r="BC8" s="1268"/>
      <c r="BD8" s="1943"/>
      <c r="BE8" s="1357"/>
      <c r="BF8" s="1947"/>
      <c r="BG8" s="1358"/>
      <c r="BH8" s="1359"/>
      <c r="BI8" s="1268"/>
      <c r="BJ8" s="1943"/>
      <c r="BK8" s="1357"/>
      <c r="BL8" s="1947"/>
      <c r="BM8" s="1358"/>
      <c r="BN8" s="1326"/>
      <c r="BO8" s="1268"/>
      <c r="BP8" s="1268"/>
      <c r="BQ8" s="1309"/>
      <c r="BR8" s="1943"/>
      <c r="BS8" s="1945"/>
      <c r="BT8" s="1941"/>
      <c r="BU8" s="1941"/>
      <c r="BV8" s="1344"/>
      <c r="BW8" s="1927"/>
      <c r="BX8" s="1326"/>
      <c r="BY8" s="1309"/>
      <c r="BZ8" s="1943"/>
      <c r="CA8" s="1945"/>
      <c r="CB8" s="1941"/>
      <c r="CC8" s="1941"/>
      <c r="CD8" s="1344"/>
      <c r="CE8" s="1927"/>
      <c r="CF8" s="1326"/>
      <c r="CG8" s="1309"/>
      <c r="CH8" s="1943"/>
      <c r="CI8" s="1945"/>
      <c r="CJ8" s="1941"/>
      <c r="CK8" s="1941"/>
      <c r="CL8" s="1344"/>
      <c r="CM8" s="1927"/>
      <c r="CN8" s="1326"/>
      <c r="CO8" s="1309"/>
      <c r="CP8" s="1943"/>
      <c r="CQ8" s="1945"/>
      <c r="CR8" s="1941"/>
      <c r="CS8" s="1941"/>
      <c r="CT8" s="1344"/>
      <c r="CU8" s="1927"/>
      <c r="CV8" s="1326"/>
      <c r="CY8" s="1977"/>
      <c r="CZ8" s="1961"/>
      <c r="DA8" s="1961"/>
      <c r="DB8" s="1961"/>
      <c r="DC8" s="1961"/>
      <c r="DD8" s="1961"/>
      <c r="DE8" s="1961"/>
      <c r="DF8" s="1961"/>
      <c r="DG8" s="1961"/>
      <c r="DH8" s="1961"/>
      <c r="DI8" s="1961"/>
      <c r="DJ8" s="1961"/>
      <c r="DK8" s="1961"/>
      <c r="DL8" s="1970"/>
      <c r="DM8" s="1961"/>
      <c r="DN8" s="1961"/>
      <c r="DO8" s="1961"/>
      <c r="DP8" s="1961"/>
      <c r="DQ8" s="1964"/>
    </row>
    <row r="9" spans="1:121" ht="21" customHeight="1" thickTop="1" thickBot="1">
      <c r="A9" s="1369"/>
      <c r="B9" s="1370" t="s">
        <v>708</v>
      </c>
      <c r="C9" s="1371"/>
      <c r="D9" s="1372"/>
      <c r="E9" s="1373"/>
      <c r="F9" s="1374"/>
      <c r="G9" s="1372"/>
      <c r="H9" s="1375" t="s">
        <v>709</v>
      </c>
      <c r="I9" s="1376"/>
      <c r="J9" s="1377"/>
      <c r="K9" s="1377"/>
      <c r="L9" s="1377"/>
      <c r="M9" s="1378" t="s">
        <v>710</v>
      </c>
      <c r="N9" s="1347"/>
      <c r="O9" s="1347"/>
      <c r="P9" s="1347"/>
      <c r="Q9" s="1347"/>
      <c r="R9" s="1379"/>
      <c r="S9" s="1939" t="s">
        <v>711</v>
      </c>
      <c r="U9" s="1380" t="s">
        <v>712</v>
      </c>
      <c r="V9" s="1381"/>
      <c r="W9" s="1381"/>
      <c r="X9" s="1879" t="s">
        <v>713</v>
      </c>
      <c r="Y9" s="1879"/>
      <c r="Z9" s="1879" t="s">
        <v>714</v>
      </c>
      <c r="AA9" s="1879"/>
      <c r="AB9" s="1879" t="s">
        <v>715</v>
      </c>
      <c r="AC9" s="1879"/>
      <c r="AD9" s="1879" t="s">
        <v>716</v>
      </c>
      <c r="AE9" s="1879"/>
      <c r="AF9" s="1919" t="s">
        <v>717</v>
      </c>
      <c r="AG9" s="1382"/>
      <c r="AH9" s="1383" t="s">
        <v>718</v>
      </c>
      <c r="AI9" s="1384"/>
      <c r="AJ9" s="1385"/>
      <c r="AK9" s="1386" t="s">
        <v>719</v>
      </c>
      <c r="AL9" s="1387"/>
      <c r="AM9" s="1387"/>
      <c r="AN9" s="1388"/>
      <c r="AQ9" s="1309"/>
      <c r="AR9" s="1944"/>
      <c r="AS9" s="1389"/>
      <c r="AT9" s="1948"/>
      <c r="AU9" s="1358"/>
      <c r="AV9" s="1359"/>
      <c r="AW9" s="1268"/>
      <c r="AX9" s="1944"/>
      <c r="AY9" s="1389"/>
      <c r="AZ9" s="1948"/>
      <c r="BA9" s="1358"/>
      <c r="BB9" s="1359"/>
      <c r="BC9" s="1268"/>
      <c r="BD9" s="1944"/>
      <c r="BE9" s="1389"/>
      <c r="BF9" s="1948"/>
      <c r="BG9" s="1358"/>
      <c r="BH9" s="1359"/>
      <c r="BI9" s="1268"/>
      <c r="BJ9" s="1944"/>
      <c r="BK9" s="1389"/>
      <c r="BL9" s="1948"/>
      <c r="BM9" s="1358"/>
      <c r="BN9" s="1326"/>
      <c r="BO9" s="1390" t="s">
        <v>720</v>
      </c>
      <c r="BP9" s="1315"/>
      <c r="BQ9" s="1309"/>
      <c r="BR9" s="1944"/>
      <c r="BS9" s="1946"/>
      <c r="BT9" s="1942"/>
      <c r="BU9" s="1942"/>
      <c r="BV9" s="1391"/>
      <c r="BW9" s="1928"/>
      <c r="BX9" s="1326"/>
      <c r="BY9" s="1309"/>
      <c r="BZ9" s="1944"/>
      <c r="CA9" s="1946"/>
      <c r="CB9" s="1942"/>
      <c r="CC9" s="1942"/>
      <c r="CD9" s="1391"/>
      <c r="CE9" s="1928"/>
      <c r="CF9" s="1326"/>
      <c r="CG9" s="1309"/>
      <c r="CH9" s="1944"/>
      <c r="CI9" s="1946"/>
      <c r="CJ9" s="1942"/>
      <c r="CK9" s="1942"/>
      <c r="CL9" s="1391"/>
      <c r="CM9" s="1928"/>
      <c r="CN9" s="1326"/>
      <c r="CO9" s="1309"/>
      <c r="CP9" s="1944"/>
      <c r="CQ9" s="1946"/>
      <c r="CR9" s="1942"/>
      <c r="CS9" s="1942"/>
      <c r="CT9" s="1391"/>
      <c r="CU9" s="1928"/>
      <c r="CV9" s="1326"/>
      <c r="CY9" s="1392"/>
      <c r="CZ9" s="1393"/>
      <c r="DA9" s="1393"/>
      <c r="DB9" s="1393"/>
      <c r="DC9" s="1393"/>
      <c r="DD9" s="1393"/>
      <c r="DE9" s="1393"/>
      <c r="DF9" s="1393"/>
      <c r="DG9" s="1393"/>
      <c r="DH9" s="1393"/>
      <c r="DI9" s="1393"/>
      <c r="DJ9" s="1393"/>
      <c r="DK9" s="1393"/>
      <c r="DL9" s="1393"/>
      <c r="DM9" s="1393"/>
      <c r="DN9" s="1393"/>
      <c r="DO9" s="1393"/>
      <c r="DP9" s="1393"/>
      <c r="DQ9" s="1394"/>
    </row>
    <row r="10" spans="1:121" ht="21" customHeight="1" thickTop="1" thickBot="1">
      <c r="A10" s="1369"/>
      <c r="B10" s="1395"/>
      <c r="C10" s="1396"/>
      <c r="D10" s="1397"/>
      <c r="E10" s="1398"/>
      <c r="F10" s="1399"/>
      <c r="G10" s="1396"/>
      <c r="H10" s="1397"/>
      <c r="I10" s="1400"/>
      <c r="J10" s="1395"/>
      <c r="K10" s="1396"/>
      <c r="L10" s="1397"/>
      <c r="M10" s="1398"/>
      <c r="N10" s="1399"/>
      <c r="O10" s="1396"/>
      <c r="P10" s="1397"/>
      <c r="Q10" s="1400"/>
      <c r="S10" s="1940"/>
      <c r="T10" s="1401" t="s">
        <v>721</v>
      </c>
      <c r="U10" s="1402"/>
      <c r="V10" s="1403"/>
      <c r="W10" s="1404"/>
      <c r="X10" s="1923" t="s">
        <v>722</v>
      </c>
      <c r="Y10" s="1923"/>
      <c r="Z10" s="1923" t="s">
        <v>723</v>
      </c>
      <c r="AA10" s="1923"/>
      <c r="AB10" s="1923" t="s">
        <v>724</v>
      </c>
      <c r="AC10" s="1923"/>
      <c r="AD10" s="1923" t="s">
        <v>725</v>
      </c>
      <c r="AE10" s="1924"/>
      <c r="AF10" s="1920"/>
      <c r="AG10" s="1405"/>
      <c r="AH10" s="1406" t="s">
        <v>726</v>
      </c>
      <c r="AI10" s="1407"/>
      <c r="AJ10" s="1408"/>
      <c r="AK10" s="1409" t="s">
        <v>727</v>
      </c>
      <c r="AL10" s="1410" t="s">
        <v>728</v>
      </c>
      <c r="AM10" s="1410"/>
      <c r="AN10" s="1411"/>
      <c r="AQ10" s="1412"/>
      <c r="AR10" s="1413"/>
      <c r="AS10" s="1414"/>
      <c r="AT10" s="1415"/>
      <c r="AU10" s="1413"/>
      <c r="AV10" s="1416"/>
      <c r="AW10" s="1417"/>
      <c r="AX10" s="1413"/>
      <c r="AY10" s="1414"/>
      <c r="AZ10" s="1415"/>
      <c r="BA10" s="1413"/>
      <c r="BB10" s="1416"/>
      <c r="BC10" s="1417"/>
      <c r="BD10" s="1413"/>
      <c r="BE10" s="1414"/>
      <c r="BF10" s="1415"/>
      <c r="BG10" s="1413"/>
      <c r="BH10" s="1416"/>
      <c r="BI10" s="1417"/>
      <c r="BJ10" s="1413"/>
      <c r="BK10" s="1414"/>
      <c r="BL10" s="1415"/>
      <c r="BM10" s="1413"/>
      <c r="BN10" s="1418"/>
      <c r="BQ10" s="1412"/>
      <c r="BR10" s="1413"/>
      <c r="BS10" s="1414"/>
      <c r="BT10" s="1419"/>
      <c r="BU10" s="1419"/>
      <c r="BV10" s="1420"/>
      <c r="BW10" s="1413"/>
      <c r="BX10" s="1421"/>
      <c r="BY10" s="1412"/>
      <c r="BZ10" s="1413"/>
      <c r="CA10" s="1414"/>
      <c r="CB10" s="1419"/>
      <c r="CC10" s="1419"/>
      <c r="CD10" s="1420"/>
      <c r="CE10" s="1413"/>
      <c r="CF10" s="1421"/>
      <c r="CG10" s="1412"/>
      <c r="CH10" s="1413"/>
      <c r="CI10" s="1414"/>
      <c r="CJ10" s="1419"/>
      <c r="CK10" s="1419"/>
      <c r="CL10" s="1420"/>
      <c r="CM10" s="1413"/>
      <c r="CN10" s="1421"/>
      <c r="CO10" s="1412"/>
      <c r="CP10" s="1413"/>
      <c r="CQ10" s="1414"/>
      <c r="CR10" s="1419"/>
      <c r="CS10" s="1419"/>
      <c r="CT10" s="1420"/>
      <c r="CU10" s="1413"/>
      <c r="CV10" s="1421"/>
      <c r="CY10" s="1422"/>
      <c r="CZ10" s="1423"/>
      <c r="DA10" s="1424" t="s">
        <v>729</v>
      </c>
      <c r="DB10" s="1425" t="s">
        <v>730</v>
      </c>
      <c r="DC10" s="1426" t="s">
        <v>731</v>
      </c>
      <c r="DD10" s="1427" t="s">
        <v>731</v>
      </c>
      <c r="DE10" s="1428" t="s">
        <v>732</v>
      </c>
      <c r="DF10" s="1429" t="s">
        <v>733</v>
      </c>
      <c r="DG10" s="1425" t="s">
        <v>734</v>
      </c>
      <c r="DH10" s="1430" t="s">
        <v>735</v>
      </c>
      <c r="DI10" s="1430" t="s">
        <v>735</v>
      </c>
      <c r="DJ10" s="1431" t="s">
        <v>735</v>
      </c>
      <c r="DK10" s="1431" t="s">
        <v>735</v>
      </c>
      <c r="DL10" s="1431" t="s">
        <v>735</v>
      </c>
      <c r="DM10" s="1431" t="s">
        <v>735</v>
      </c>
      <c r="DN10" s="1432" t="s">
        <v>736</v>
      </c>
      <c r="DO10" s="1429"/>
      <c r="DP10" s="1433" t="s">
        <v>737</v>
      </c>
      <c r="DQ10" s="1434"/>
    </row>
    <row r="11" spans="1:121" ht="21" customHeight="1" thickBot="1">
      <c r="A11" s="1369"/>
      <c r="B11" s="1435"/>
      <c r="C11" s="1436" t="s">
        <v>738</v>
      </c>
      <c r="D11" s="1437"/>
      <c r="E11" s="1438" t="s">
        <v>181</v>
      </c>
      <c r="F11" s="1439"/>
      <c r="G11" s="1436" t="s">
        <v>739</v>
      </c>
      <c r="H11" s="1437"/>
      <c r="I11" s="1440"/>
      <c r="J11" s="1441"/>
      <c r="K11" s="1436" t="s">
        <v>740</v>
      </c>
      <c r="L11" s="1437"/>
      <c r="M11" s="1442"/>
      <c r="N11" s="1443" t="s">
        <v>181</v>
      </c>
      <c r="O11" s="1436"/>
      <c r="P11" s="1444" t="s">
        <v>741</v>
      </c>
      <c r="Q11" s="1445"/>
      <c r="S11" s="1446" t="s">
        <v>742</v>
      </c>
      <c r="T11" s="1447" t="s">
        <v>743</v>
      </c>
      <c r="U11" s="1403"/>
      <c r="V11" s="1403"/>
      <c r="W11" s="1404"/>
      <c r="X11" s="1925">
        <v>5</v>
      </c>
      <c r="Y11" s="1925"/>
      <c r="Z11" s="1925">
        <v>6</v>
      </c>
      <c r="AA11" s="1925"/>
      <c r="AB11" s="1925">
        <v>0</v>
      </c>
      <c r="AC11" s="1925"/>
      <c r="AD11" s="1925">
        <v>0</v>
      </c>
      <c r="AE11" s="1926"/>
      <c r="AF11" s="1921"/>
      <c r="AG11" s="1448"/>
      <c r="AH11" s="1406" t="s">
        <v>744</v>
      </c>
      <c r="AI11" s="1449"/>
      <c r="AJ11" s="1450"/>
      <c r="AK11" s="1409" t="s">
        <v>745</v>
      </c>
      <c r="AL11" s="1410" t="s">
        <v>746</v>
      </c>
      <c r="AM11" s="1410"/>
      <c r="AN11" s="1411"/>
      <c r="AQ11" s="1451"/>
      <c r="AR11" s="1452"/>
      <c r="AS11" s="1389"/>
      <c r="AT11" s="1453"/>
      <c r="AU11" s="1452"/>
      <c r="AV11" s="1454"/>
      <c r="AW11" s="1455"/>
      <c r="AX11" s="1452"/>
      <c r="AY11" s="1389"/>
      <c r="AZ11" s="1453"/>
      <c r="BA11" s="1452"/>
      <c r="BB11" s="1454"/>
      <c r="BC11" s="1455"/>
      <c r="BD11" s="1452"/>
      <c r="BE11" s="1389"/>
      <c r="BF11" s="1453"/>
      <c r="BG11" s="1452"/>
      <c r="BH11" s="1454"/>
      <c r="BI11" s="1455"/>
      <c r="BJ11" s="1452"/>
      <c r="BK11" s="1389"/>
      <c r="BL11" s="1453"/>
      <c r="BM11" s="1452"/>
      <c r="BN11" s="1456"/>
      <c r="BO11" s="1390" t="s">
        <v>747</v>
      </c>
      <c r="BP11" s="1390"/>
      <c r="BQ11" s="1451"/>
      <c r="BR11" s="1452"/>
      <c r="BS11" s="1389"/>
      <c r="BT11" s="1457"/>
      <c r="BU11" s="1457"/>
      <c r="BV11" s="1391"/>
      <c r="BW11" s="1452"/>
      <c r="BX11" s="1458"/>
      <c r="BY11" s="1451"/>
      <c r="BZ11" s="1452"/>
      <c r="CA11" s="1389"/>
      <c r="CB11" s="1457"/>
      <c r="CC11" s="1457"/>
      <c r="CD11" s="1391"/>
      <c r="CE11" s="1452"/>
      <c r="CF11" s="1458"/>
      <c r="CG11" s="1451"/>
      <c r="CH11" s="1452"/>
      <c r="CI11" s="1389"/>
      <c r="CJ11" s="1457"/>
      <c r="CK11" s="1457"/>
      <c r="CL11" s="1391"/>
      <c r="CM11" s="1452"/>
      <c r="CN11" s="1458"/>
      <c r="CO11" s="1451"/>
      <c r="CP11" s="1452"/>
      <c r="CQ11" s="1389"/>
      <c r="CR11" s="1457"/>
      <c r="CS11" s="1457"/>
      <c r="CT11" s="1391"/>
      <c r="CU11" s="1452"/>
      <c r="CV11" s="1458"/>
      <c r="CY11" s="1459" t="s">
        <v>748</v>
      </c>
      <c r="CZ11" s="1460"/>
      <c r="DA11" s="1461"/>
      <c r="DB11" s="1462">
        <v>500</v>
      </c>
      <c r="DC11" s="1462">
        <v>1</v>
      </c>
      <c r="DD11" s="1462">
        <v>0.25</v>
      </c>
      <c r="DE11" s="1463"/>
      <c r="DF11" s="1463"/>
      <c r="DG11" s="1462">
        <v>40</v>
      </c>
      <c r="DH11" s="1464">
        <v>2</v>
      </c>
      <c r="DI11" s="1464">
        <v>2</v>
      </c>
      <c r="DJ11" s="1465">
        <v>1</v>
      </c>
      <c r="DK11" s="1465">
        <v>1</v>
      </c>
      <c r="DL11" s="1465">
        <v>1</v>
      </c>
      <c r="DM11" s="1465">
        <v>1</v>
      </c>
      <c r="DN11" s="1463" t="s">
        <v>749</v>
      </c>
      <c r="DO11" s="1466" t="s">
        <v>750</v>
      </c>
      <c r="DP11" s="1467" t="s">
        <v>751</v>
      </c>
      <c r="DQ11" s="1468" t="s">
        <v>750</v>
      </c>
    </row>
    <row r="12" spans="1:121" ht="21" customHeight="1" thickTop="1" thickBot="1">
      <c r="A12" s="1369"/>
      <c r="B12" s="1469"/>
      <c r="C12" s="1470"/>
      <c r="D12" s="1471"/>
      <c r="E12" s="1472" t="s">
        <v>752</v>
      </c>
      <c r="F12" s="1473" t="s">
        <v>753</v>
      </c>
      <c r="G12" s="1470"/>
      <c r="H12" s="1470"/>
      <c r="I12" s="1474"/>
      <c r="J12" s="1441"/>
      <c r="K12" s="1470"/>
      <c r="L12" s="1437"/>
      <c r="M12" s="1475" t="s">
        <v>754</v>
      </c>
      <c r="N12" s="1476" t="s">
        <v>752</v>
      </c>
      <c r="O12" s="1477"/>
      <c r="P12" s="1478"/>
      <c r="Q12" s="1479"/>
      <c r="S12" s="1446" t="s">
        <v>755</v>
      </c>
      <c r="T12" s="1480" t="s">
        <v>756</v>
      </c>
      <c r="U12" s="1268"/>
      <c r="V12" s="1268"/>
      <c r="W12" s="1320"/>
      <c r="X12" s="1917">
        <v>6</v>
      </c>
      <c r="Y12" s="1917"/>
      <c r="Z12" s="1917">
        <v>9</v>
      </c>
      <c r="AA12" s="1917"/>
      <c r="AB12" s="1917">
        <v>12</v>
      </c>
      <c r="AC12" s="1917"/>
      <c r="AD12" s="1917">
        <v>5</v>
      </c>
      <c r="AE12" s="1918"/>
      <c r="AF12" s="1921"/>
      <c r="AG12" s="1481"/>
      <c r="AH12" s="1406" t="s">
        <v>757</v>
      </c>
      <c r="AI12" s="1407"/>
      <c r="AJ12" s="1408"/>
      <c r="AK12" s="1409" t="s">
        <v>758</v>
      </c>
      <c r="AL12" s="1410" t="s">
        <v>759</v>
      </c>
      <c r="AM12" s="1410"/>
      <c r="AN12" s="1411"/>
      <c r="AQ12" s="1412"/>
      <c r="AR12" s="1413"/>
      <c r="AS12" s="1414"/>
      <c r="AT12" s="1415"/>
      <c r="AU12" s="1413"/>
      <c r="AV12" s="1359"/>
      <c r="AW12" s="1268"/>
      <c r="AX12" s="1413"/>
      <c r="AY12" s="1414"/>
      <c r="AZ12" s="1415"/>
      <c r="BA12" s="1413"/>
      <c r="BB12" s="1359"/>
      <c r="BC12" s="1268"/>
      <c r="BD12" s="1413"/>
      <c r="BE12" s="1414"/>
      <c r="BF12" s="1415"/>
      <c r="BG12" s="1413"/>
      <c r="BH12" s="1359"/>
      <c r="BI12" s="1268"/>
      <c r="BJ12" s="1413"/>
      <c r="BK12" s="1414"/>
      <c r="BL12" s="1415"/>
      <c r="BM12" s="1413"/>
      <c r="BN12" s="1326"/>
      <c r="BQ12" s="1309"/>
      <c r="BR12" s="1413"/>
      <c r="BS12" s="1414"/>
      <c r="BT12" s="1419"/>
      <c r="BU12" s="1419"/>
      <c r="BV12" s="1420"/>
      <c r="BW12" s="1413"/>
      <c r="BX12" s="1326"/>
      <c r="BY12" s="1309"/>
      <c r="BZ12" s="1413"/>
      <c r="CA12" s="1414"/>
      <c r="CB12" s="1419"/>
      <c r="CC12" s="1419"/>
      <c r="CD12" s="1420"/>
      <c r="CE12" s="1413"/>
      <c r="CF12" s="1326"/>
      <c r="CG12" s="1309"/>
      <c r="CH12" s="1413"/>
      <c r="CI12" s="1414"/>
      <c r="CJ12" s="1419"/>
      <c r="CK12" s="1419"/>
      <c r="CL12" s="1420"/>
      <c r="CM12" s="1413"/>
      <c r="CN12" s="1326"/>
      <c r="CO12" s="1309"/>
      <c r="CP12" s="1413"/>
      <c r="CQ12" s="1414"/>
      <c r="CR12" s="1419"/>
      <c r="CS12" s="1419"/>
      <c r="CT12" s="1420"/>
      <c r="CU12" s="1413"/>
      <c r="CV12" s="1326"/>
      <c r="CY12" s="1482" t="s">
        <v>760</v>
      </c>
      <c r="CZ12" s="1483"/>
      <c r="DA12" s="1484"/>
      <c r="DB12" s="1485"/>
      <c r="DC12" s="1485"/>
      <c r="DD12" s="1485"/>
      <c r="DE12" s="1486"/>
      <c r="DF12" s="1487"/>
      <c r="DG12" s="1485"/>
      <c r="DH12" s="1485"/>
      <c r="DI12" s="1485"/>
      <c r="DJ12" s="1485"/>
      <c r="DK12" s="1485"/>
      <c r="DL12" s="1485"/>
      <c r="DM12" s="1485"/>
      <c r="DN12" s="1488" t="s">
        <v>761</v>
      </c>
      <c r="DO12" s="1489">
        <v>75</v>
      </c>
      <c r="DP12" s="1486" t="s">
        <v>762</v>
      </c>
      <c r="DQ12" s="1490">
        <v>70</v>
      </c>
    </row>
    <row r="13" spans="1:121" ht="21" customHeight="1" thickTop="1" thickBot="1">
      <c r="A13" s="1369"/>
      <c r="B13" s="1491"/>
      <c r="C13" s="1492"/>
      <c r="D13" s="1493"/>
      <c r="E13" s="1494"/>
      <c r="F13" s="1495"/>
      <c r="G13" s="1476" t="s">
        <v>752</v>
      </c>
      <c r="H13" s="1496" t="s">
        <v>181</v>
      </c>
      <c r="I13" s="1497"/>
      <c r="J13" s="1498"/>
      <c r="K13" s="1499" t="s">
        <v>181</v>
      </c>
      <c r="L13" s="1500" t="s">
        <v>752</v>
      </c>
      <c r="M13" s="1501"/>
      <c r="N13" s="1495"/>
      <c r="O13" s="1502" t="s">
        <v>754</v>
      </c>
      <c r="P13" s="1492"/>
      <c r="Q13" s="1503"/>
      <c r="S13" s="1446" t="s">
        <v>763</v>
      </c>
      <c r="T13" s="1480" t="s">
        <v>764</v>
      </c>
      <c r="U13" s="1268"/>
      <c r="V13" s="1268"/>
      <c r="W13" s="1320"/>
      <c r="X13" s="1917">
        <v>4</v>
      </c>
      <c r="Y13" s="1917"/>
      <c r="Z13" s="1917">
        <v>0</v>
      </c>
      <c r="AA13" s="1917"/>
      <c r="AB13" s="1917">
        <v>8</v>
      </c>
      <c r="AC13" s="1917"/>
      <c r="AD13" s="1917">
        <v>15</v>
      </c>
      <c r="AE13" s="1918"/>
      <c r="AF13" s="1922"/>
      <c r="AG13" s="1504" t="s">
        <v>754</v>
      </c>
      <c r="AH13" s="1505" t="s">
        <v>765</v>
      </c>
      <c r="AI13" s="1506"/>
      <c r="AJ13" s="1507"/>
      <c r="AK13" s="1508" t="s">
        <v>766</v>
      </c>
      <c r="AL13" s="1509" t="s">
        <v>767</v>
      </c>
      <c r="AM13" s="1509"/>
      <c r="AN13" s="1510"/>
      <c r="AQ13" s="1451"/>
      <c r="AR13" s="1452"/>
      <c r="AS13" s="1389"/>
      <c r="AT13" s="1453"/>
      <c r="AU13" s="1452"/>
      <c r="AV13" s="1454"/>
      <c r="AW13" s="1455"/>
      <c r="AX13" s="1452"/>
      <c r="AY13" s="1389"/>
      <c r="AZ13" s="1453"/>
      <c r="BA13" s="1452"/>
      <c r="BB13" s="1454"/>
      <c r="BC13" s="1455"/>
      <c r="BD13" s="1452"/>
      <c r="BE13" s="1389"/>
      <c r="BF13" s="1453"/>
      <c r="BG13" s="1452"/>
      <c r="BH13" s="1454"/>
      <c r="BI13" s="1455"/>
      <c r="BJ13" s="1452"/>
      <c r="BK13" s="1389"/>
      <c r="BL13" s="1453"/>
      <c r="BM13" s="1452"/>
      <c r="BN13" s="1456"/>
      <c r="BO13" s="1390"/>
      <c r="BP13" s="1390"/>
      <c r="BQ13" s="1451"/>
      <c r="BR13" s="1452"/>
      <c r="BS13" s="1389"/>
      <c r="BT13" s="1457"/>
      <c r="BU13" s="1457"/>
      <c r="BV13" s="1391"/>
      <c r="BW13" s="1452"/>
      <c r="BX13" s="1326"/>
      <c r="BY13" s="1451"/>
      <c r="BZ13" s="1452"/>
      <c r="CA13" s="1389"/>
      <c r="CB13" s="1457"/>
      <c r="CC13" s="1457"/>
      <c r="CD13" s="1391"/>
      <c r="CE13" s="1452"/>
      <c r="CF13" s="1326"/>
      <c r="CG13" s="1451"/>
      <c r="CH13" s="1452"/>
      <c r="CI13" s="1389"/>
      <c r="CJ13" s="1457"/>
      <c r="CK13" s="1457"/>
      <c r="CL13" s="1391"/>
      <c r="CM13" s="1452"/>
      <c r="CN13" s="1326"/>
      <c r="CO13" s="1451"/>
      <c r="CP13" s="1452"/>
      <c r="CQ13" s="1389"/>
      <c r="CR13" s="1457"/>
      <c r="CS13" s="1457"/>
      <c r="CT13" s="1391"/>
      <c r="CU13" s="1452"/>
      <c r="CV13" s="1326"/>
      <c r="CY13" s="1511">
        <v>1</v>
      </c>
      <c r="CZ13" s="1512">
        <v>0</v>
      </c>
      <c r="DA13" s="1513" t="s">
        <v>768</v>
      </c>
      <c r="DB13" s="1514">
        <v>95</v>
      </c>
      <c r="DC13" s="1512">
        <v>5</v>
      </c>
      <c r="DD13" s="1515">
        <v>30</v>
      </c>
      <c r="DE13" s="1516">
        <v>5</v>
      </c>
      <c r="DF13" s="1517">
        <v>5</v>
      </c>
      <c r="DG13" s="1518">
        <f>DB13</f>
        <v>95</v>
      </c>
      <c r="DH13" s="1515">
        <v>5</v>
      </c>
      <c r="DI13" s="1514">
        <v>5</v>
      </c>
      <c r="DJ13" s="1516">
        <v>0</v>
      </c>
      <c r="DK13" s="1516">
        <v>0</v>
      </c>
      <c r="DL13" s="1516">
        <v>0</v>
      </c>
      <c r="DM13" s="1516">
        <v>0</v>
      </c>
      <c r="DN13" s="1516">
        <v>100</v>
      </c>
      <c r="DO13" s="1517">
        <v>75</v>
      </c>
      <c r="DP13" s="1514">
        <v>100</v>
      </c>
      <c r="DQ13" s="1519">
        <v>70</v>
      </c>
    </row>
    <row r="14" spans="1:121" ht="21" customHeight="1" thickTop="1" thickBot="1">
      <c r="A14" s="1369"/>
      <c r="B14" s="1395"/>
      <c r="C14" s="1397"/>
      <c r="D14" s="1520"/>
      <c r="E14" s="1521"/>
      <c r="F14" s="1522" t="s">
        <v>769</v>
      </c>
      <c r="G14" s="1523"/>
      <c r="H14" s="1523"/>
      <c r="I14" s="1523"/>
      <c r="J14" s="1524"/>
      <c r="K14" s="1524"/>
      <c r="L14" s="1524"/>
      <c r="M14" s="1525"/>
      <c r="N14" s="1495"/>
      <c r="O14" s="1526"/>
      <c r="P14" s="1527"/>
      <c r="Q14" s="1528"/>
      <c r="S14" s="1446" t="s">
        <v>770</v>
      </c>
      <c r="T14" s="1480" t="s">
        <v>771</v>
      </c>
      <c r="U14" s="1268"/>
      <c r="V14" s="1268"/>
      <c r="W14" s="1320"/>
      <c r="X14" s="1910">
        <v>2</v>
      </c>
      <c r="Y14" s="1910"/>
      <c r="Z14" s="1910">
        <v>0</v>
      </c>
      <c r="AA14" s="1910"/>
      <c r="AB14" s="1910">
        <v>0</v>
      </c>
      <c r="AC14" s="1910"/>
      <c r="AD14" s="1910">
        <v>10</v>
      </c>
      <c r="AE14" s="1911"/>
      <c r="AK14" s="1529" t="s">
        <v>772</v>
      </c>
      <c r="AL14" s="1387"/>
      <c r="AM14" s="1387"/>
      <c r="AN14" s="1388"/>
      <c r="AQ14" s="1412"/>
      <c r="AR14" s="1358"/>
      <c r="AS14" s="1414"/>
      <c r="AT14" s="1415"/>
      <c r="AU14" s="1358"/>
      <c r="AV14" s="1359"/>
      <c r="AW14" s="1268"/>
      <c r="AX14" s="1358"/>
      <c r="AY14" s="1357"/>
      <c r="AZ14" s="1530"/>
      <c r="BA14" s="1358"/>
      <c r="BB14" s="1359"/>
      <c r="BC14" s="1268"/>
      <c r="BD14" s="1358"/>
      <c r="BE14" s="1357"/>
      <c r="BF14" s="1530"/>
      <c r="BG14" s="1358"/>
      <c r="BH14" s="1359"/>
      <c r="BI14" s="1268"/>
      <c r="BJ14" s="1358"/>
      <c r="BK14" s="1357"/>
      <c r="BL14" s="1530"/>
      <c r="BM14" s="1358"/>
      <c r="BN14" s="1326"/>
      <c r="BQ14" s="1309"/>
      <c r="BR14" s="1358"/>
      <c r="BS14" s="1357"/>
      <c r="BT14" s="1531"/>
      <c r="BU14" s="1531"/>
      <c r="BV14" s="1344"/>
      <c r="BW14" s="1358"/>
      <c r="BX14" s="1421"/>
      <c r="BY14" s="1309"/>
      <c r="BZ14" s="1358"/>
      <c r="CA14" s="1357"/>
      <c r="CB14" s="1531"/>
      <c r="CC14" s="1531"/>
      <c r="CD14" s="1344"/>
      <c r="CE14" s="1358"/>
      <c r="CF14" s="1421"/>
      <c r="CG14" s="1309"/>
      <c r="CH14" s="1358"/>
      <c r="CI14" s="1357"/>
      <c r="CJ14" s="1531"/>
      <c r="CK14" s="1531"/>
      <c r="CL14" s="1344"/>
      <c r="CM14" s="1358"/>
      <c r="CN14" s="1421"/>
      <c r="CO14" s="1309"/>
      <c r="CP14" s="1358"/>
      <c r="CQ14" s="1357"/>
      <c r="CR14" s="1531"/>
      <c r="CS14" s="1531"/>
      <c r="CT14" s="1344"/>
      <c r="CU14" s="1358"/>
      <c r="CV14" s="1421"/>
      <c r="CY14" s="1532">
        <v>2</v>
      </c>
      <c r="CZ14" s="1533">
        <v>1</v>
      </c>
      <c r="DA14" s="1534" t="s">
        <v>773</v>
      </c>
      <c r="DB14" s="1535">
        <v>95</v>
      </c>
      <c r="DC14" s="1536">
        <v>5</v>
      </c>
      <c r="DD14" s="1537">
        <v>30</v>
      </c>
      <c r="DE14" s="1538">
        <v>5</v>
      </c>
      <c r="DF14" s="1539">
        <v>5</v>
      </c>
      <c r="DG14" s="1540">
        <f t="shared" ref="DG14:DG36" si="0">DB14</f>
        <v>95</v>
      </c>
      <c r="DH14" s="1537">
        <v>5</v>
      </c>
      <c r="DI14" s="1535">
        <v>5</v>
      </c>
      <c r="DJ14" s="1538">
        <v>0</v>
      </c>
      <c r="DK14" s="1538">
        <v>0</v>
      </c>
      <c r="DL14" s="1538">
        <v>0</v>
      </c>
      <c r="DM14" s="1538">
        <v>0</v>
      </c>
      <c r="DN14" s="1538">
        <v>100</v>
      </c>
      <c r="DO14" s="1539">
        <v>75</v>
      </c>
      <c r="DP14" s="1535">
        <v>100</v>
      </c>
      <c r="DQ14" s="1541">
        <v>70</v>
      </c>
    </row>
    <row r="15" spans="1:121" ht="21" customHeight="1" thickTop="1" thickBot="1">
      <c r="A15" s="1369"/>
      <c r="B15" s="1435"/>
      <c r="C15" s="1542" t="s">
        <v>774</v>
      </c>
      <c r="D15" s="1543"/>
      <c r="E15" s="1544" t="s">
        <v>752</v>
      </c>
      <c r="F15" s="1545"/>
      <c r="G15" s="1912" t="s">
        <v>775</v>
      </c>
      <c r="H15" s="1913"/>
      <c r="I15" s="1546" t="s">
        <v>727</v>
      </c>
      <c r="J15" s="1912" t="s">
        <v>776</v>
      </c>
      <c r="K15" s="1914"/>
      <c r="L15" s="1913"/>
      <c r="M15" s="1547"/>
      <c r="N15" s="1548" t="s">
        <v>752</v>
      </c>
      <c r="O15" s="1549"/>
      <c r="P15" s="1436" t="s">
        <v>777</v>
      </c>
      <c r="Q15" s="1445"/>
      <c r="S15" s="1446" t="s">
        <v>778</v>
      </c>
      <c r="T15" s="1550" t="s">
        <v>779</v>
      </c>
      <c r="U15" s="1335"/>
      <c r="V15" s="1335"/>
      <c r="W15" s="1338"/>
      <c r="X15" s="1915">
        <v>15</v>
      </c>
      <c r="Y15" s="1915"/>
      <c r="Z15" s="1915">
        <v>15</v>
      </c>
      <c r="AA15" s="1915"/>
      <c r="AB15" s="1915">
        <v>15</v>
      </c>
      <c r="AC15" s="1915"/>
      <c r="AD15" s="1915">
        <v>15</v>
      </c>
      <c r="AE15" s="1916"/>
      <c r="AF15" s="1551" t="s">
        <v>780</v>
      </c>
      <c r="AG15" s="1552"/>
      <c r="AH15" s="1552"/>
      <c r="AI15" s="1553"/>
      <c r="AK15" s="1554" t="s">
        <v>181</v>
      </c>
      <c r="AL15" s="1410" t="s">
        <v>781</v>
      </c>
      <c r="AM15" s="1410"/>
      <c r="AN15" s="1411"/>
      <c r="AQ15" s="1268"/>
      <c r="AR15" s="1358"/>
      <c r="AS15" s="1555"/>
      <c r="AT15" s="1358"/>
      <c r="AU15" s="1555"/>
      <c r="AV15" s="1359"/>
      <c r="AW15" s="1268"/>
      <c r="AX15" s="1358"/>
      <c r="AY15" s="1555"/>
      <c r="AZ15" s="1358"/>
      <c r="BA15" s="1555"/>
      <c r="BB15" s="1359"/>
      <c r="BC15" s="1268"/>
      <c r="BD15" s="1358"/>
      <c r="BE15" s="1555"/>
      <c r="BF15" s="1358"/>
      <c r="BG15" s="1555"/>
      <c r="BH15" s="1359"/>
      <c r="BI15" s="1268"/>
      <c r="BJ15" s="1358"/>
      <c r="BK15" s="1555"/>
      <c r="BL15" s="1358"/>
      <c r="BM15" s="1555"/>
      <c r="BN15" s="1268"/>
      <c r="BO15" s="1268"/>
      <c r="BP15" s="1268"/>
      <c r="BQ15" s="1268"/>
      <c r="BR15" s="1358"/>
      <c r="BS15" s="1556"/>
      <c r="BT15" s="1358"/>
      <c r="BU15" s="1556"/>
      <c r="BV15" s="1557"/>
      <c r="BW15" s="1358"/>
      <c r="BX15" s="1268"/>
      <c r="BY15" s="1268"/>
      <c r="BZ15" s="1358"/>
      <c r="CA15" s="1556"/>
      <c r="CB15" s="1358"/>
      <c r="CC15" s="1556"/>
      <c r="CD15" s="1557"/>
      <c r="CE15" s="1358"/>
      <c r="CF15" s="1268"/>
      <c r="CG15" s="1268"/>
      <c r="CH15" s="1358"/>
      <c r="CI15" s="1556"/>
      <c r="CJ15" s="1358"/>
      <c r="CK15" s="1556"/>
      <c r="CL15" s="1557"/>
      <c r="CM15" s="1358"/>
      <c r="CN15" s="1268"/>
      <c r="CO15" s="1268"/>
      <c r="CP15" s="1358"/>
      <c r="CQ15" s="1556"/>
      <c r="CR15" s="1358"/>
      <c r="CS15" s="1556"/>
      <c r="CT15" s="1557"/>
      <c r="CU15" s="1358"/>
      <c r="CV15" s="1268"/>
      <c r="CY15" s="1558">
        <v>3</v>
      </c>
      <c r="CZ15" s="1559">
        <v>2</v>
      </c>
      <c r="DA15" s="1560" t="s">
        <v>782</v>
      </c>
      <c r="DB15" s="1561">
        <v>95</v>
      </c>
      <c r="DC15" s="1562">
        <v>5</v>
      </c>
      <c r="DD15" s="1563">
        <v>30</v>
      </c>
      <c r="DE15" s="1564">
        <v>5</v>
      </c>
      <c r="DF15" s="1565">
        <v>5</v>
      </c>
      <c r="DG15" s="1566">
        <f t="shared" si="0"/>
        <v>95</v>
      </c>
      <c r="DH15" s="1563">
        <v>5</v>
      </c>
      <c r="DI15" s="1561">
        <v>5</v>
      </c>
      <c r="DJ15" s="1564">
        <v>0</v>
      </c>
      <c r="DK15" s="1564">
        <v>0</v>
      </c>
      <c r="DL15" s="1564">
        <v>0</v>
      </c>
      <c r="DM15" s="1564">
        <v>0</v>
      </c>
      <c r="DN15" s="1564">
        <v>100</v>
      </c>
      <c r="DO15" s="1565">
        <v>75</v>
      </c>
      <c r="DP15" s="1561">
        <v>100</v>
      </c>
      <c r="DQ15" s="1567">
        <v>70</v>
      </c>
    </row>
    <row r="16" spans="1:121" ht="21" customHeight="1" thickBot="1">
      <c r="A16" s="1369"/>
      <c r="B16" s="1469"/>
      <c r="C16" s="1470"/>
      <c r="D16" s="1470"/>
      <c r="E16" s="1568" t="s">
        <v>181</v>
      </c>
      <c r="F16" s="1902" t="s">
        <v>783</v>
      </c>
      <c r="G16" s="1905" t="s">
        <v>784</v>
      </c>
      <c r="H16" s="1906"/>
      <c r="I16" s="1546" t="s">
        <v>745</v>
      </c>
      <c r="J16" s="1905" t="s">
        <v>785</v>
      </c>
      <c r="K16" s="1907"/>
      <c r="L16" s="1906"/>
      <c r="M16" s="1908" t="s">
        <v>783</v>
      </c>
      <c r="N16" s="1569" t="s">
        <v>181</v>
      </c>
      <c r="O16" s="1477"/>
      <c r="P16" s="1398"/>
      <c r="Q16" s="1479"/>
      <c r="S16" s="1446" t="s">
        <v>786</v>
      </c>
      <c r="T16" s="1480" t="s">
        <v>787</v>
      </c>
      <c r="U16" s="1268"/>
      <c r="V16" s="1268"/>
      <c r="W16" s="1320"/>
      <c r="X16" s="1893">
        <f>SUM(X11:Y14)</f>
        <v>17</v>
      </c>
      <c r="Y16" s="1893"/>
      <c r="Z16" s="1893">
        <f>SUM(Z11:AA14)</f>
        <v>15</v>
      </c>
      <c r="AA16" s="1893"/>
      <c r="AB16" s="1893">
        <f>SUM(AB11:AC14)</f>
        <v>20</v>
      </c>
      <c r="AC16" s="1893"/>
      <c r="AD16" s="1893">
        <f>SUM(AD11:AE14)</f>
        <v>30</v>
      </c>
      <c r="AE16" s="1894"/>
      <c r="AF16" s="1270" t="s">
        <v>788</v>
      </c>
      <c r="AK16" s="1570" t="s">
        <v>752</v>
      </c>
      <c r="AL16" s="1509" t="s">
        <v>789</v>
      </c>
      <c r="AM16" s="1509"/>
      <c r="AN16" s="1510"/>
      <c r="AQ16" s="1571"/>
      <c r="AR16" s="1572"/>
      <c r="AS16" s="1573"/>
      <c r="AT16" s="1572"/>
      <c r="AU16" s="1573"/>
      <c r="AV16" s="1574"/>
      <c r="AW16" s="1571"/>
      <c r="AX16" s="1572"/>
      <c r="AY16" s="1573"/>
      <c r="AZ16" s="1572"/>
      <c r="BA16" s="1573"/>
      <c r="BB16" s="1574"/>
      <c r="BC16" s="1571"/>
      <c r="BD16" s="1572"/>
      <c r="BE16" s="1573"/>
      <c r="BF16" s="1572"/>
      <c r="BG16" s="1573"/>
      <c r="BH16" s="1574"/>
      <c r="BI16" s="1571"/>
      <c r="BJ16" s="1572"/>
      <c r="BK16" s="1575" t="s">
        <v>790</v>
      </c>
      <c r="BL16" s="1572"/>
      <c r="BM16" s="1573"/>
      <c r="BN16" s="1571"/>
      <c r="BO16" s="1571"/>
      <c r="BP16" s="1571"/>
      <c r="BQ16" s="1571"/>
      <c r="BR16" s="1572"/>
      <c r="BS16" s="1576"/>
      <c r="BT16" s="1572"/>
      <c r="BU16" s="1576"/>
      <c r="BV16" s="1577"/>
      <c r="BW16" s="1572"/>
      <c r="BX16" s="1571"/>
      <c r="BY16" s="1571"/>
      <c r="BZ16" s="1572"/>
      <c r="CA16" s="1576"/>
      <c r="CB16" s="1572"/>
      <c r="CC16" s="1576"/>
      <c r="CD16" s="1577"/>
      <c r="CE16" s="1572"/>
      <c r="CF16" s="1571"/>
      <c r="CG16" s="1571"/>
      <c r="CH16" s="1572"/>
      <c r="CI16" s="1576"/>
      <c r="CJ16" s="1572"/>
      <c r="CK16" s="1576"/>
      <c r="CL16" s="1577"/>
      <c r="CM16" s="1572"/>
      <c r="CN16" s="1571"/>
      <c r="CO16" s="1571"/>
      <c r="CP16" s="1572"/>
      <c r="CQ16" s="1576"/>
      <c r="CR16" s="1572"/>
      <c r="CS16" s="1576"/>
      <c r="CT16" s="1577"/>
      <c r="CU16" s="1572"/>
      <c r="CV16" s="1571"/>
      <c r="CY16" s="1578">
        <v>4</v>
      </c>
      <c r="CZ16" s="1579">
        <v>3</v>
      </c>
      <c r="DA16" s="1580" t="s">
        <v>791</v>
      </c>
      <c r="DB16" s="1581">
        <v>95</v>
      </c>
      <c r="DC16" s="1582">
        <v>5</v>
      </c>
      <c r="DD16" s="1583">
        <v>30</v>
      </c>
      <c r="DE16" s="1584">
        <v>5</v>
      </c>
      <c r="DF16" s="1585">
        <v>5</v>
      </c>
      <c r="DG16" s="1586">
        <f t="shared" si="0"/>
        <v>95</v>
      </c>
      <c r="DH16" s="1583">
        <v>5</v>
      </c>
      <c r="DI16" s="1581">
        <v>5</v>
      </c>
      <c r="DJ16" s="1581">
        <v>0</v>
      </c>
      <c r="DK16" s="1581">
        <v>0</v>
      </c>
      <c r="DL16" s="1581">
        <v>0</v>
      </c>
      <c r="DM16" s="1581">
        <v>0</v>
      </c>
      <c r="DN16" s="1584">
        <v>100</v>
      </c>
      <c r="DO16" s="1585">
        <v>75</v>
      </c>
      <c r="DP16" s="1581">
        <v>100</v>
      </c>
      <c r="DQ16" s="1587">
        <v>70</v>
      </c>
    </row>
    <row r="17" spans="1:121" ht="21" customHeight="1" thickBot="1">
      <c r="A17" s="1369"/>
      <c r="B17" s="1491"/>
      <c r="C17" s="1492"/>
      <c r="D17" s="1492"/>
      <c r="E17" s="1493"/>
      <c r="F17" s="1903"/>
      <c r="G17" s="1899" t="s">
        <v>775</v>
      </c>
      <c r="H17" s="1900"/>
      <c r="I17" s="1546" t="s">
        <v>758</v>
      </c>
      <c r="J17" s="1899" t="s">
        <v>792</v>
      </c>
      <c r="K17" s="1901"/>
      <c r="L17" s="1900"/>
      <c r="M17" s="1909"/>
      <c r="N17" s="1588"/>
      <c r="O17" s="1589"/>
      <c r="P17" s="1589"/>
      <c r="Q17" s="1503"/>
      <c r="S17" s="1446" t="s">
        <v>793</v>
      </c>
      <c r="T17" s="1590" t="s">
        <v>794</v>
      </c>
      <c r="U17" s="1315"/>
      <c r="V17" s="1315"/>
      <c r="W17" s="1390"/>
      <c r="X17" s="1884">
        <f xml:space="preserve"> X11 + X12 + 2*X13 + 2*X14</f>
        <v>23</v>
      </c>
      <c r="Y17" s="1884"/>
      <c r="Z17" s="1884">
        <f xml:space="preserve"> Z11 + Z12 + 2*Z13 + 2*Z14</f>
        <v>15</v>
      </c>
      <c r="AA17" s="1884"/>
      <c r="AB17" s="1884">
        <f xml:space="preserve"> AB11 + AB12 + 2*AB13 + 2*AB14</f>
        <v>28</v>
      </c>
      <c r="AC17" s="1884"/>
      <c r="AD17" s="1884">
        <f xml:space="preserve"> AD11 + AD12 + 2*AD13 + 2*AD14</f>
        <v>55</v>
      </c>
      <c r="AE17" s="1885"/>
      <c r="AF17" s="1270" t="s">
        <v>795</v>
      </c>
      <c r="AQ17" s="1268"/>
      <c r="AR17" s="1358"/>
      <c r="AS17" s="1555"/>
      <c r="AT17" s="1358"/>
      <c r="AU17" s="1555"/>
      <c r="AV17" s="1359"/>
      <c r="AW17" s="1268"/>
      <c r="AX17" s="1358"/>
      <c r="AY17" s="1555"/>
      <c r="AZ17" s="1358"/>
      <c r="BA17" s="1555"/>
      <c r="BB17" s="1359"/>
      <c r="BC17" s="1268"/>
      <c r="BD17" s="1358"/>
      <c r="BE17" s="1555"/>
      <c r="BF17" s="1358"/>
      <c r="BG17" s="1555"/>
      <c r="BH17" s="1359"/>
      <c r="BI17" s="1268"/>
      <c r="BJ17" s="1358"/>
      <c r="BK17" s="1555"/>
      <c r="BL17" s="1358"/>
      <c r="BM17" s="1555"/>
      <c r="BN17" s="1268"/>
      <c r="BO17" s="1268"/>
      <c r="BP17" s="1268"/>
      <c r="BQ17" s="1268"/>
      <c r="BR17" s="1358"/>
      <c r="BS17" s="1556"/>
      <c r="BT17" s="1358"/>
      <c r="BU17" s="1556"/>
      <c r="BV17" s="1557"/>
      <c r="BW17" s="1358"/>
      <c r="BX17" s="1268"/>
      <c r="BY17" s="1268"/>
      <c r="BZ17" s="1358"/>
      <c r="CA17" s="1556"/>
      <c r="CB17" s="1358"/>
      <c r="CC17" s="1556"/>
      <c r="CD17" s="1557"/>
      <c r="CE17" s="1358"/>
      <c r="CF17" s="1268"/>
      <c r="CG17" s="1268"/>
      <c r="CH17" s="1358"/>
      <c r="CI17" s="1556"/>
      <c r="CJ17" s="1358"/>
      <c r="CK17" s="1556"/>
      <c r="CL17" s="1557"/>
      <c r="CM17" s="1358"/>
      <c r="CN17" s="1268"/>
      <c r="CO17" s="1268"/>
      <c r="CP17" s="1358"/>
      <c r="CQ17" s="1556"/>
      <c r="CR17" s="1358"/>
      <c r="CS17" s="1556"/>
      <c r="CT17" s="1557"/>
      <c r="CU17" s="1358"/>
      <c r="CV17" s="1268"/>
      <c r="CY17" s="1532">
        <v>5</v>
      </c>
      <c r="CZ17" s="1533">
        <v>4</v>
      </c>
      <c r="DA17" s="1534" t="s">
        <v>796</v>
      </c>
      <c r="DB17" s="1535">
        <v>95</v>
      </c>
      <c r="DC17" s="1536">
        <v>5</v>
      </c>
      <c r="DD17" s="1537">
        <v>30</v>
      </c>
      <c r="DE17" s="1538">
        <v>5</v>
      </c>
      <c r="DF17" s="1539">
        <v>5</v>
      </c>
      <c r="DG17" s="1540">
        <f t="shared" si="0"/>
        <v>95</v>
      </c>
      <c r="DH17" s="1537">
        <v>5</v>
      </c>
      <c r="DI17" s="1535">
        <v>5</v>
      </c>
      <c r="DJ17" s="1535">
        <v>0</v>
      </c>
      <c r="DK17" s="1535">
        <v>0</v>
      </c>
      <c r="DL17" s="1535">
        <v>0</v>
      </c>
      <c r="DM17" s="1535">
        <v>0</v>
      </c>
      <c r="DN17" s="1538">
        <v>100</v>
      </c>
      <c r="DO17" s="1539">
        <v>75</v>
      </c>
      <c r="DP17" s="1535">
        <v>100</v>
      </c>
      <c r="DQ17" s="1541">
        <v>70</v>
      </c>
    </row>
    <row r="18" spans="1:121" ht="21" customHeight="1" thickTop="1" thickBot="1">
      <c r="A18" s="1369"/>
      <c r="B18" s="1395"/>
      <c r="C18" s="1396"/>
      <c r="D18" s="1396"/>
      <c r="E18" s="1528"/>
      <c r="F18" s="1903"/>
      <c r="G18" s="1591"/>
      <c r="H18" s="1592"/>
      <c r="I18" s="1593" t="s">
        <v>783</v>
      </c>
      <c r="J18" s="1591"/>
      <c r="K18" s="1591"/>
      <c r="L18" s="1594"/>
      <c r="M18" s="1909"/>
      <c r="N18" s="1395"/>
      <c r="O18" s="1595"/>
      <c r="P18" s="1595"/>
      <c r="Q18" s="1528"/>
      <c r="S18" s="1446" t="s">
        <v>797</v>
      </c>
      <c r="T18" s="1596" t="s">
        <v>798</v>
      </c>
      <c r="U18" s="1268"/>
      <c r="V18" s="1268"/>
      <c r="W18" s="1320"/>
      <c r="X18" s="1893">
        <f xml:space="preserve"> X11*$P$6 + X12*$U$4 + X13*$U$5 + X14*$U$6</f>
        <v>17050</v>
      </c>
      <c r="Y18" s="1893"/>
      <c r="Z18" s="1893">
        <f xml:space="preserve"> Z11*$P$6 + Z12*$U$4 + Z13*$U$5 + Z14*$U$6</f>
        <v>12000</v>
      </c>
      <c r="AA18" s="1893"/>
      <c r="AB18" s="1893">
        <f xml:space="preserve"> AB11*$P$6 + AB12*$U$4 + AB13*$U$5 + AB14*$U$6</f>
        <v>21200</v>
      </c>
      <c r="AC18" s="1893"/>
      <c r="AD18" s="1893">
        <f xml:space="preserve"> AD11*$P$6 + AD12*$U$4 + AD13*$U$5 + AD14*$U$6</f>
        <v>40000</v>
      </c>
      <c r="AE18" s="1894"/>
      <c r="AF18" s="1270" t="s">
        <v>799</v>
      </c>
      <c r="AQ18" s="1451"/>
      <c r="AR18" s="1358"/>
      <c r="AS18" s="1357"/>
      <c r="AT18" s="1530"/>
      <c r="AU18" s="1357"/>
      <c r="AV18" s="1359"/>
      <c r="AW18" s="1268"/>
      <c r="AX18" s="1358"/>
      <c r="AY18" s="1357"/>
      <c r="AZ18" s="1530"/>
      <c r="BA18" s="1358"/>
      <c r="BB18" s="1359"/>
      <c r="BC18" s="1268"/>
      <c r="BD18" s="1358"/>
      <c r="BE18" s="1357"/>
      <c r="BF18" s="1530"/>
      <c r="BG18" s="1358"/>
      <c r="BH18" s="1359"/>
      <c r="BI18" s="1268"/>
      <c r="BJ18" s="1358"/>
      <c r="BK18" s="1357"/>
      <c r="BL18" s="1530"/>
      <c r="BM18" s="1358"/>
      <c r="BN18" s="1326"/>
      <c r="BO18" s="1315"/>
      <c r="BP18" s="1315"/>
      <c r="BQ18" s="1451"/>
      <c r="BR18" s="1358"/>
      <c r="BS18" s="1531"/>
      <c r="BT18" s="1358"/>
      <c r="BU18" s="1531"/>
      <c r="BV18" s="1597"/>
      <c r="BW18" s="1358"/>
      <c r="BX18" s="1458"/>
      <c r="BY18" s="1451"/>
      <c r="BZ18" s="1358"/>
      <c r="CA18" s="1531"/>
      <c r="CB18" s="1358"/>
      <c r="CC18" s="1531"/>
      <c r="CD18" s="1597"/>
      <c r="CE18" s="1358"/>
      <c r="CF18" s="1458"/>
      <c r="CG18" s="1451"/>
      <c r="CH18" s="1358"/>
      <c r="CI18" s="1531"/>
      <c r="CJ18" s="1358"/>
      <c r="CK18" s="1531"/>
      <c r="CL18" s="1597"/>
      <c r="CM18" s="1358"/>
      <c r="CN18" s="1458"/>
      <c r="CO18" s="1451"/>
      <c r="CP18" s="1358"/>
      <c r="CQ18" s="1531"/>
      <c r="CR18" s="1358"/>
      <c r="CS18" s="1531"/>
      <c r="CT18" s="1597"/>
      <c r="CU18" s="1358"/>
      <c r="CV18" s="1458"/>
      <c r="CY18" s="1598">
        <v>6</v>
      </c>
      <c r="CZ18" s="1599">
        <v>5</v>
      </c>
      <c r="DA18" s="1600" t="s">
        <v>800</v>
      </c>
      <c r="DB18" s="1601">
        <v>95</v>
      </c>
      <c r="DC18" s="1602">
        <v>5</v>
      </c>
      <c r="DD18" s="1603">
        <v>30</v>
      </c>
      <c r="DE18" s="1604">
        <v>5</v>
      </c>
      <c r="DF18" s="1605">
        <v>5</v>
      </c>
      <c r="DG18" s="1606">
        <f t="shared" si="0"/>
        <v>95</v>
      </c>
      <c r="DH18" s="1607">
        <v>50</v>
      </c>
      <c r="DI18" s="1608">
        <v>80</v>
      </c>
      <c r="DJ18" s="1601">
        <v>0</v>
      </c>
      <c r="DK18" s="1601">
        <v>0</v>
      </c>
      <c r="DL18" s="1601">
        <v>0</v>
      </c>
      <c r="DM18" s="1601">
        <v>0</v>
      </c>
      <c r="DN18" s="1604">
        <v>100</v>
      </c>
      <c r="DO18" s="1605">
        <v>75</v>
      </c>
      <c r="DP18" s="1601">
        <v>100</v>
      </c>
      <c r="DQ18" s="1609">
        <v>70</v>
      </c>
    </row>
    <row r="19" spans="1:121" ht="21" customHeight="1" thickTop="1" thickBot="1">
      <c r="A19" s="1369"/>
      <c r="B19" s="1435"/>
      <c r="C19" s="1542" t="s">
        <v>801</v>
      </c>
      <c r="D19" s="1437"/>
      <c r="E19" s="1610" t="s">
        <v>181</v>
      </c>
      <c r="F19" s="1904"/>
      <c r="G19" s="1611" t="s">
        <v>802</v>
      </c>
      <c r="H19" s="1612"/>
      <c r="I19" s="1612"/>
      <c r="J19" s="1613"/>
      <c r="K19" s="1895" t="s">
        <v>803</v>
      </c>
      <c r="L19" s="1896"/>
      <c r="M19" s="1904"/>
      <c r="N19" s="1614" t="s">
        <v>181</v>
      </c>
      <c r="O19" s="1437"/>
      <c r="P19" s="1436" t="s">
        <v>804</v>
      </c>
      <c r="Q19" s="1445"/>
      <c r="S19" s="1446" t="s">
        <v>805</v>
      </c>
      <c r="T19" s="1596" t="s">
        <v>806</v>
      </c>
      <c r="U19" s="1268"/>
      <c r="V19" s="1268"/>
      <c r="W19" s="1320"/>
      <c r="X19" s="1882">
        <f xml:space="preserve"> (X18*X15/100) / (1-X15/100)</f>
        <v>3008.8235294117649</v>
      </c>
      <c r="Y19" s="1882"/>
      <c r="Z19" s="1882">
        <f xml:space="preserve"> (Z18*Z15/100) / (1-Z15/100)</f>
        <v>2117.6470588235293</v>
      </c>
      <c r="AA19" s="1882"/>
      <c r="AB19" s="1882">
        <f xml:space="preserve"> (AB18*AB15/100) / (1-AB15/100)</f>
        <v>3741.1764705882356</v>
      </c>
      <c r="AC19" s="1882"/>
      <c r="AD19" s="1882">
        <f xml:space="preserve"> (AD18*AD15/100) / (1-AD15/100)</f>
        <v>7058.8235294117649</v>
      </c>
      <c r="AE19" s="1883"/>
      <c r="AF19" s="1270" t="s">
        <v>807</v>
      </c>
      <c r="AQ19" s="1412"/>
      <c r="AR19" s="1413"/>
      <c r="AS19" s="1414"/>
      <c r="AT19" s="1415"/>
      <c r="AU19" s="1414"/>
      <c r="AV19" s="1416"/>
      <c r="AW19" s="1417"/>
      <c r="AX19" s="1413"/>
      <c r="AY19" s="1414"/>
      <c r="AZ19" s="1415"/>
      <c r="BA19" s="1413"/>
      <c r="BB19" s="1416"/>
      <c r="BC19" s="1417"/>
      <c r="BD19" s="1413"/>
      <c r="BE19" s="1414"/>
      <c r="BF19" s="1415"/>
      <c r="BG19" s="1413"/>
      <c r="BH19" s="1416"/>
      <c r="BI19" s="1417"/>
      <c r="BJ19" s="1413"/>
      <c r="BK19" s="1414"/>
      <c r="BL19" s="1415"/>
      <c r="BM19" s="1413"/>
      <c r="BN19" s="1418"/>
      <c r="BQ19" s="1615"/>
      <c r="BR19" s="1413"/>
      <c r="BS19" s="1419"/>
      <c r="BT19" s="1413"/>
      <c r="BU19" s="1419"/>
      <c r="BV19" s="1616"/>
      <c r="BW19" s="1413"/>
      <c r="BX19" s="1326"/>
      <c r="BY19" s="1615"/>
      <c r="BZ19" s="1413"/>
      <c r="CA19" s="1419"/>
      <c r="CB19" s="1413"/>
      <c r="CC19" s="1419"/>
      <c r="CD19" s="1616"/>
      <c r="CE19" s="1413"/>
      <c r="CF19" s="1326"/>
      <c r="CG19" s="1615"/>
      <c r="CH19" s="1413"/>
      <c r="CI19" s="1419"/>
      <c r="CJ19" s="1413"/>
      <c r="CK19" s="1419"/>
      <c r="CL19" s="1616"/>
      <c r="CM19" s="1413"/>
      <c r="CN19" s="1326"/>
      <c r="CO19" s="1615"/>
      <c r="CP19" s="1413"/>
      <c r="CQ19" s="1419"/>
      <c r="CR19" s="1413"/>
      <c r="CS19" s="1419"/>
      <c r="CT19" s="1616"/>
      <c r="CU19" s="1413"/>
      <c r="CV19" s="1326"/>
      <c r="CY19" s="1617">
        <v>7</v>
      </c>
      <c r="CZ19" s="1618">
        <v>6</v>
      </c>
      <c r="DA19" s="1619" t="s">
        <v>808</v>
      </c>
      <c r="DB19" s="1620">
        <v>95</v>
      </c>
      <c r="DC19" s="1618">
        <v>25</v>
      </c>
      <c r="DD19" s="1621">
        <v>50</v>
      </c>
      <c r="DE19" s="1622">
        <v>20</v>
      </c>
      <c r="DF19" s="1623">
        <v>30</v>
      </c>
      <c r="DG19" s="1540">
        <f t="shared" si="0"/>
        <v>95</v>
      </c>
      <c r="DH19" s="1624">
        <v>50</v>
      </c>
      <c r="DI19" s="1620">
        <v>80</v>
      </c>
      <c r="DJ19" s="1625">
        <v>0</v>
      </c>
      <c r="DK19" s="1625">
        <v>0</v>
      </c>
      <c r="DL19" s="1625">
        <v>0</v>
      </c>
      <c r="DM19" s="1625">
        <v>0</v>
      </c>
      <c r="DN19" s="1625">
        <v>100</v>
      </c>
      <c r="DO19" s="1626">
        <v>75</v>
      </c>
      <c r="DP19" s="1620">
        <v>100</v>
      </c>
      <c r="DQ19" s="1627">
        <v>70</v>
      </c>
    </row>
    <row r="20" spans="1:121" ht="21" customHeight="1" thickTop="1" thickBot="1">
      <c r="A20" s="1369"/>
      <c r="B20" s="1469"/>
      <c r="C20" s="1470"/>
      <c r="D20" s="1437"/>
      <c r="E20" s="1500" t="s">
        <v>752</v>
      </c>
      <c r="F20" s="1628"/>
      <c r="G20" s="1886" t="s">
        <v>809</v>
      </c>
      <c r="H20" s="1887"/>
      <c r="I20" s="1546" t="s">
        <v>766</v>
      </c>
      <c r="J20" s="1629" t="s">
        <v>754</v>
      </c>
      <c r="K20" s="1897"/>
      <c r="L20" s="1898"/>
      <c r="M20" s="1630"/>
      <c r="N20" s="1631" t="s">
        <v>752</v>
      </c>
      <c r="O20" s="1477"/>
      <c r="P20" s="1398"/>
      <c r="Q20" s="1479"/>
      <c r="S20" s="1446" t="s">
        <v>810</v>
      </c>
      <c r="T20" s="1596" t="s">
        <v>811</v>
      </c>
      <c r="U20" s="1268"/>
      <c r="V20" s="1268"/>
      <c r="W20" s="1320"/>
      <c r="X20" s="1888">
        <f>X18+X19</f>
        <v>20058.823529411766</v>
      </c>
      <c r="Y20" s="1889"/>
      <c r="Z20" s="1888">
        <f>Z18+Z19</f>
        <v>14117.64705882353</v>
      </c>
      <c r="AA20" s="1889"/>
      <c r="AB20" s="1888">
        <f>AB18+AB19</f>
        <v>24941.176470588234</v>
      </c>
      <c r="AC20" s="1889"/>
      <c r="AD20" s="1888">
        <f>AD18+AD19</f>
        <v>47058.823529411762</v>
      </c>
      <c r="AE20" s="1890"/>
      <c r="AF20" s="1270" t="s">
        <v>812</v>
      </c>
      <c r="AK20" s="1632"/>
      <c r="AL20" s="1633" t="s">
        <v>813</v>
      </c>
      <c r="AM20" s="1634"/>
      <c r="AN20" s="1635"/>
      <c r="AQ20" s="1451"/>
      <c r="AR20" s="1452"/>
      <c r="AS20" s="1389"/>
      <c r="AT20" s="1453"/>
      <c r="AU20" s="1389"/>
      <c r="AV20" s="1454"/>
      <c r="AW20" s="1455"/>
      <c r="AX20" s="1452"/>
      <c r="AY20" s="1389"/>
      <c r="AZ20" s="1453"/>
      <c r="BA20" s="1452"/>
      <c r="BB20" s="1454"/>
      <c r="BC20" s="1455"/>
      <c r="BD20" s="1452"/>
      <c r="BE20" s="1389"/>
      <c r="BF20" s="1453"/>
      <c r="BG20" s="1452"/>
      <c r="BH20" s="1454"/>
      <c r="BI20" s="1455"/>
      <c r="BJ20" s="1452"/>
      <c r="BK20" s="1389"/>
      <c r="BL20" s="1453"/>
      <c r="BM20" s="1452"/>
      <c r="BN20" s="1456"/>
      <c r="BO20" s="1390" t="s">
        <v>814</v>
      </c>
      <c r="BP20" s="1390"/>
      <c r="BQ20" s="1636"/>
      <c r="BR20" s="1452"/>
      <c r="BS20" s="1457"/>
      <c r="BT20" s="1452"/>
      <c r="BU20" s="1457"/>
      <c r="BV20" s="1637"/>
      <c r="BW20" s="1452"/>
      <c r="BX20" s="1326"/>
      <c r="BY20" s="1636"/>
      <c r="BZ20" s="1452"/>
      <c r="CA20" s="1457"/>
      <c r="CB20" s="1452"/>
      <c r="CC20" s="1457"/>
      <c r="CD20" s="1637"/>
      <c r="CE20" s="1452"/>
      <c r="CF20" s="1326"/>
      <c r="CG20" s="1636"/>
      <c r="CH20" s="1452"/>
      <c r="CI20" s="1457"/>
      <c r="CJ20" s="1452"/>
      <c r="CK20" s="1457"/>
      <c r="CL20" s="1637"/>
      <c r="CM20" s="1452"/>
      <c r="CN20" s="1326"/>
      <c r="CO20" s="1636"/>
      <c r="CP20" s="1452"/>
      <c r="CQ20" s="1457"/>
      <c r="CR20" s="1452"/>
      <c r="CS20" s="1457"/>
      <c r="CT20" s="1637"/>
      <c r="CU20" s="1452"/>
      <c r="CV20" s="1326"/>
      <c r="CY20" s="1532">
        <v>8</v>
      </c>
      <c r="CZ20" s="1533">
        <v>7</v>
      </c>
      <c r="DA20" s="1534" t="s">
        <v>815</v>
      </c>
      <c r="DB20" s="1638">
        <v>80</v>
      </c>
      <c r="DC20" s="1533">
        <v>45</v>
      </c>
      <c r="DD20" s="1639">
        <v>90</v>
      </c>
      <c r="DE20" s="1640">
        <v>40</v>
      </c>
      <c r="DF20" s="1641">
        <v>50</v>
      </c>
      <c r="DG20" s="1642">
        <f t="shared" si="0"/>
        <v>80</v>
      </c>
      <c r="DH20" s="1537">
        <v>50</v>
      </c>
      <c r="DI20" s="1535">
        <v>80</v>
      </c>
      <c r="DJ20" s="1538">
        <v>0</v>
      </c>
      <c r="DK20" s="1538">
        <v>0</v>
      </c>
      <c r="DL20" s="1538">
        <v>0</v>
      </c>
      <c r="DM20" s="1538">
        <v>0</v>
      </c>
      <c r="DN20" s="1538">
        <v>100</v>
      </c>
      <c r="DO20" s="1539">
        <v>75</v>
      </c>
      <c r="DP20" s="1535">
        <v>100</v>
      </c>
      <c r="DQ20" s="1541">
        <v>70</v>
      </c>
    </row>
    <row r="21" spans="1:121" ht="21" customHeight="1" thickTop="1" thickBot="1">
      <c r="A21" s="1369"/>
      <c r="B21" s="1491"/>
      <c r="C21" s="1643"/>
      <c r="D21" s="1644"/>
      <c r="E21" s="1494"/>
      <c r="F21" s="1522" t="s">
        <v>769</v>
      </c>
      <c r="G21" s="1645"/>
      <c r="H21" s="1524"/>
      <c r="I21" s="1524"/>
      <c r="J21" s="1524"/>
      <c r="K21" s="1524"/>
      <c r="L21" s="1524"/>
      <c r="M21" s="1525"/>
      <c r="N21" s="1495"/>
      <c r="O21" s="1646"/>
      <c r="P21" s="1647"/>
      <c r="Q21" s="1503"/>
      <c r="S21" s="1446" t="s">
        <v>816</v>
      </c>
      <c r="T21" s="1648" t="s">
        <v>817</v>
      </c>
      <c r="U21" s="1649"/>
      <c r="V21" s="1649"/>
      <c r="W21" s="1650"/>
      <c r="X21" s="1891">
        <f>X20*$AA$4*$AG$4</f>
        <v>1002.9411764705883</v>
      </c>
      <c r="Y21" s="1891"/>
      <c r="Z21" s="1891">
        <f>Z20*$AA$4*$AG$4</f>
        <v>705.88235294117658</v>
      </c>
      <c r="AA21" s="1891"/>
      <c r="AB21" s="1891">
        <f>AB20*$AA$4*$AG$4</f>
        <v>1247.0588235294117</v>
      </c>
      <c r="AC21" s="1891"/>
      <c r="AD21" s="1891">
        <f>AD20*$AA$4*$AG$4</f>
        <v>2352.9411764705883</v>
      </c>
      <c r="AE21" s="1892"/>
      <c r="AF21" s="1270" t="s">
        <v>818</v>
      </c>
      <c r="AQ21" s="1412"/>
      <c r="AR21" s="1413"/>
      <c r="AS21" s="1414"/>
      <c r="AT21" s="1415"/>
      <c r="AU21" s="1414"/>
      <c r="AV21" s="1651"/>
      <c r="AW21" s="1652"/>
      <c r="AX21" s="1413"/>
      <c r="AY21" s="1414"/>
      <c r="AZ21" s="1415"/>
      <c r="BA21" s="1413"/>
      <c r="BB21" s="1651"/>
      <c r="BC21" s="1652"/>
      <c r="BD21" s="1413"/>
      <c r="BE21" s="1414"/>
      <c r="BF21" s="1415"/>
      <c r="BG21" s="1413"/>
      <c r="BH21" s="1651"/>
      <c r="BI21" s="1652"/>
      <c r="BJ21" s="1413"/>
      <c r="BK21" s="1414"/>
      <c r="BL21" s="1415"/>
      <c r="BM21" s="1413"/>
      <c r="BN21" s="1421"/>
      <c r="BQ21" s="1412"/>
      <c r="BR21" s="1413"/>
      <c r="BS21" s="1419"/>
      <c r="BT21" s="1413"/>
      <c r="BU21" s="1419"/>
      <c r="BV21" s="1616"/>
      <c r="BW21" s="1413"/>
      <c r="BX21" s="1421"/>
      <c r="BY21" s="1412"/>
      <c r="BZ21" s="1413"/>
      <c r="CA21" s="1419"/>
      <c r="CB21" s="1413"/>
      <c r="CC21" s="1419"/>
      <c r="CD21" s="1616"/>
      <c r="CE21" s="1413"/>
      <c r="CF21" s="1421"/>
      <c r="CG21" s="1412"/>
      <c r="CH21" s="1413"/>
      <c r="CI21" s="1419"/>
      <c r="CJ21" s="1413"/>
      <c r="CK21" s="1419"/>
      <c r="CL21" s="1616"/>
      <c r="CM21" s="1413"/>
      <c r="CN21" s="1421"/>
      <c r="CO21" s="1412"/>
      <c r="CP21" s="1413"/>
      <c r="CQ21" s="1419"/>
      <c r="CR21" s="1413"/>
      <c r="CS21" s="1419"/>
      <c r="CT21" s="1616"/>
      <c r="CU21" s="1413"/>
      <c r="CV21" s="1421"/>
      <c r="CY21" s="1558">
        <v>9</v>
      </c>
      <c r="CZ21" s="1559">
        <v>8</v>
      </c>
      <c r="DA21" s="1560" t="s">
        <v>819</v>
      </c>
      <c r="DB21" s="1561">
        <v>80</v>
      </c>
      <c r="DC21" s="1562">
        <v>45</v>
      </c>
      <c r="DD21" s="1653">
        <v>30</v>
      </c>
      <c r="DE21" s="1654">
        <v>50</v>
      </c>
      <c r="DF21" s="1655">
        <v>40</v>
      </c>
      <c r="DG21" s="1566">
        <f t="shared" si="0"/>
        <v>80</v>
      </c>
      <c r="DH21" s="1653">
        <v>5</v>
      </c>
      <c r="DI21" s="1656">
        <v>5</v>
      </c>
      <c r="DJ21" s="1564">
        <v>0</v>
      </c>
      <c r="DK21" s="1564">
        <v>0</v>
      </c>
      <c r="DL21" s="1564">
        <v>0</v>
      </c>
      <c r="DM21" s="1564">
        <v>0</v>
      </c>
      <c r="DN21" s="1564">
        <v>100</v>
      </c>
      <c r="DO21" s="1565">
        <v>75</v>
      </c>
      <c r="DP21" s="1561">
        <v>100</v>
      </c>
      <c r="DQ21" s="1567">
        <v>70</v>
      </c>
    </row>
    <row r="22" spans="1:121" ht="21" customHeight="1" thickTop="1" thickBot="1">
      <c r="A22" s="1369"/>
      <c r="B22" s="1395"/>
      <c r="C22" s="1657"/>
      <c r="D22" s="1658"/>
      <c r="E22" s="1659"/>
      <c r="F22" s="1660"/>
      <c r="G22" s="1661" t="s">
        <v>752</v>
      </c>
      <c r="H22" s="1662" t="s">
        <v>181</v>
      </c>
      <c r="I22" s="1663"/>
      <c r="J22" s="1664"/>
      <c r="K22" s="1662" t="s">
        <v>181</v>
      </c>
      <c r="L22" s="1665" t="s">
        <v>752</v>
      </c>
      <c r="M22" s="1666"/>
      <c r="N22" s="1667"/>
      <c r="O22" s="1668"/>
      <c r="P22" s="1669"/>
      <c r="Q22" s="1528"/>
      <c r="S22" s="1446" t="s">
        <v>820</v>
      </c>
      <c r="T22" s="1480" t="s">
        <v>821</v>
      </c>
      <c r="U22" s="1320"/>
      <c r="V22" s="1325"/>
      <c r="W22" s="1320"/>
      <c r="X22" s="1882">
        <f xml:space="preserve"> $AA$5 * $P$4 * X16 * $AG$5</f>
        <v>1360</v>
      </c>
      <c r="Y22" s="1882"/>
      <c r="Z22" s="1882">
        <f xml:space="preserve"> $AA$5 * $P$4 * Z16 * $AG$5</f>
        <v>1200</v>
      </c>
      <c r="AA22" s="1882"/>
      <c r="AB22" s="1882">
        <f xml:space="preserve"> $AA$5 * $P$4 * AB16 * $AG$5</f>
        <v>1600</v>
      </c>
      <c r="AC22" s="1882"/>
      <c r="AD22" s="1882">
        <f xml:space="preserve"> $AA$5 * $P$4 * AD16 * $AG$5</f>
        <v>2400</v>
      </c>
      <c r="AE22" s="1883"/>
      <c r="AF22" s="1270" t="s">
        <v>822</v>
      </c>
      <c r="AQ22" s="1451"/>
      <c r="AR22" s="1452"/>
      <c r="AS22" s="1389"/>
      <c r="AT22" s="1453"/>
      <c r="AU22" s="1389"/>
      <c r="AV22" s="1670"/>
      <c r="AW22" s="1671"/>
      <c r="AX22" s="1452"/>
      <c r="AY22" s="1389"/>
      <c r="AZ22" s="1453"/>
      <c r="BA22" s="1452"/>
      <c r="BB22" s="1670"/>
      <c r="BC22" s="1671"/>
      <c r="BD22" s="1452"/>
      <c r="BE22" s="1389"/>
      <c r="BF22" s="1453"/>
      <c r="BG22" s="1452"/>
      <c r="BH22" s="1670"/>
      <c r="BI22" s="1671"/>
      <c r="BJ22" s="1452"/>
      <c r="BK22" s="1389"/>
      <c r="BL22" s="1453"/>
      <c r="BM22" s="1452"/>
      <c r="BN22" s="1458"/>
      <c r="BO22" s="1390" t="s">
        <v>823</v>
      </c>
      <c r="BP22" s="1390"/>
      <c r="BQ22" s="1451"/>
      <c r="BR22" s="1452"/>
      <c r="BS22" s="1457"/>
      <c r="BT22" s="1452"/>
      <c r="BU22" s="1457"/>
      <c r="BV22" s="1637"/>
      <c r="BW22" s="1452"/>
      <c r="BX22" s="1458"/>
      <c r="BY22" s="1451"/>
      <c r="BZ22" s="1452"/>
      <c r="CA22" s="1457"/>
      <c r="CB22" s="1452"/>
      <c r="CC22" s="1457"/>
      <c r="CD22" s="1637"/>
      <c r="CE22" s="1452"/>
      <c r="CF22" s="1458"/>
      <c r="CG22" s="1451"/>
      <c r="CH22" s="1452"/>
      <c r="CI22" s="1457"/>
      <c r="CJ22" s="1452"/>
      <c r="CK22" s="1457"/>
      <c r="CL22" s="1637"/>
      <c r="CM22" s="1452"/>
      <c r="CN22" s="1458"/>
      <c r="CO22" s="1451"/>
      <c r="CP22" s="1452"/>
      <c r="CQ22" s="1457"/>
      <c r="CR22" s="1452"/>
      <c r="CS22" s="1457"/>
      <c r="CT22" s="1637"/>
      <c r="CU22" s="1452"/>
      <c r="CV22" s="1458"/>
      <c r="CY22" s="1578">
        <v>10</v>
      </c>
      <c r="CZ22" s="1579">
        <v>9</v>
      </c>
      <c r="DA22" s="1580" t="s">
        <v>824</v>
      </c>
      <c r="DB22" s="1672">
        <v>65</v>
      </c>
      <c r="DC22" s="1579">
        <v>35</v>
      </c>
      <c r="DD22" s="1583">
        <v>30</v>
      </c>
      <c r="DE22" s="1673">
        <v>40</v>
      </c>
      <c r="DF22" s="1674">
        <v>30</v>
      </c>
      <c r="DG22" s="1675">
        <f t="shared" si="0"/>
        <v>65</v>
      </c>
      <c r="DH22" s="1583">
        <v>5</v>
      </c>
      <c r="DI22" s="1581">
        <v>5</v>
      </c>
      <c r="DJ22" s="1581">
        <v>0</v>
      </c>
      <c r="DK22" s="1581">
        <v>0</v>
      </c>
      <c r="DL22" s="1581">
        <v>0</v>
      </c>
      <c r="DM22" s="1581">
        <v>0</v>
      </c>
      <c r="DN22" s="1673">
        <v>0</v>
      </c>
      <c r="DO22" s="1674">
        <v>95</v>
      </c>
      <c r="DP22" s="1672">
        <v>50</v>
      </c>
      <c r="DQ22" s="1676">
        <v>50</v>
      </c>
    </row>
    <row r="23" spans="1:121" ht="21" customHeight="1" thickTop="1" thickBot="1">
      <c r="A23" s="1369"/>
      <c r="B23" s="1435"/>
      <c r="C23" s="1542"/>
      <c r="D23" s="1543"/>
      <c r="E23" s="1544" t="s">
        <v>752</v>
      </c>
      <c r="F23" s="1677"/>
      <c r="G23" s="1437"/>
      <c r="H23" s="1436"/>
      <c r="I23" s="1678"/>
      <c r="J23" s="1679"/>
      <c r="K23" s="1436"/>
      <c r="L23" s="1680"/>
      <c r="M23" s="1681"/>
      <c r="N23" s="1548" t="s">
        <v>752</v>
      </c>
      <c r="O23" s="1437"/>
      <c r="P23" s="1436"/>
      <c r="Q23" s="1445"/>
      <c r="S23" s="1446" t="s">
        <v>825</v>
      </c>
      <c r="T23" s="1480" t="s">
        <v>826</v>
      </c>
      <c r="U23" s="1320"/>
      <c r="V23" s="1325"/>
      <c r="W23" s="1320"/>
      <c r="X23" s="1882">
        <f xml:space="preserve"> $AA$6 * $P$5 * X17 * $AG$6</f>
        <v>1610</v>
      </c>
      <c r="Y23" s="1882"/>
      <c r="Z23" s="1882">
        <f xml:space="preserve"> $AA$6 * $P$5 * Z17 * $AG$6</f>
        <v>1050</v>
      </c>
      <c r="AA23" s="1882"/>
      <c r="AB23" s="1882">
        <f xml:space="preserve"> $AA$6 * $P$5 * AB17 * $AG$6</f>
        <v>1960</v>
      </c>
      <c r="AC23" s="1882"/>
      <c r="AD23" s="1882">
        <f xml:space="preserve"> $AA$6 * $P$5 * AD17 * $AG$6</f>
        <v>3850</v>
      </c>
      <c r="AE23" s="1883"/>
      <c r="AF23" s="1270" t="s">
        <v>827</v>
      </c>
      <c r="AQ23" s="1412"/>
      <c r="AR23" s="1413"/>
      <c r="AS23" s="1414"/>
      <c r="AT23" s="1415"/>
      <c r="AU23" s="1414"/>
      <c r="AV23" s="1651"/>
      <c r="AW23" s="1652"/>
      <c r="AX23" s="1413"/>
      <c r="AY23" s="1414"/>
      <c r="AZ23" s="1415"/>
      <c r="BA23" s="1413"/>
      <c r="BB23" s="1651"/>
      <c r="BC23" s="1652"/>
      <c r="BD23" s="1413"/>
      <c r="BE23" s="1414"/>
      <c r="BF23" s="1415"/>
      <c r="BG23" s="1413"/>
      <c r="BH23" s="1651"/>
      <c r="BI23" s="1652"/>
      <c r="BJ23" s="1413"/>
      <c r="BK23" s="1414"/>
      <c r="BL23" s="1415"/>
      <c r="BM23" s="1413"/>
      <c r="BN23" s="1421"/>
      <c r="BQ23" s="1412"/>
      <c r="BR23" s="1413"/>
      <c r="BS23" s="1419"/>
      <c r="BT23" s="1413"/>
      <c r="BU23" s="1419"/>
      <c r="BV23" s="1616"/>
      <c r="BW23" s="1413"/>
      <c r="BX23" s="1326"/>
      <c r="BY23" s="1412"/>
      <c r="BZ23" s="1413"/>
      <c r="CA23" s="1419"/>
      <c r="CB23" s="1413"/>
      <c r="CC23" s="1419"/>
      <c r="CD23" s="1616"/>
      <c r="CE23" s="1413"/>
      <c r="CF23" s="1326"/>
      <c r="CG23" s="1412"/>
      <c r="CH23" s="1413"/>
      <c r="CI23" s="1419"/>
      <c r="CJ23" s="1413"/>
      <c r="CK23" s="1419"/>
      <c r="CL23" s="1616"/>
      <c r="CM23" s="1413"/>
      <c r="CN23" s="1326"/>
      <c r="CO23" s="1412"/>
      <c r="CP23" s="1413"/>
      <c r="CQ23" s="1419"/>
      <c r="CR23" s="1413"/>
      <c r="CS23" s="1419"/>
      <c r="CT23" s="1616"/>
      <c r="CU23" s="1413"/>
      <c r="CV23" s="1326"/>
      <c r="CY23" s="1532">
        <v>11</v>
      </c>
      <c r="CZ23" s="1533">
        <v>10</v>
      </c>
      <c r="DA23" s="1534" t="s">
        <v>828</v>
      </c>
      <c r="DB23" s="1535">
        <v>65</v>
      </c>
      <c r="DC23" s="1536">
        <v>35</v>
      </c>
      <c r="DD23" s="1537">
        <v>30</v>
      </c>
      <c r="DE23" s="1538">
        <v>40</v>
      </c>
      <c r="DF23" s="1539">
        <v>30</v>
      </c>
      <c r="DG23" s="1540">
        <f t="shared" si="0"/>
        <v>65</v>
      </c>
      <c r="DH23" s="1537">
        <v>5</v>
      </c>
      <c r="DI23" s="1535">
        <v>5</v>
      </c>
      <c r="DJ23" s="1535">
        <v>0</v>
      </c>
      <c r="DK23" s="1535">
        <v>0</v>
      </c>
      <c r="DL23" s="1535">
        <v>0</v>
      </c>
      <c r="DM23" s="1535">
        <v>0</v>
      </c>
      <c r="DN23" s="1538">
        <v>0</v>
      </c>
      <c r="DO23" s="1539">
        <v>95</v>
      </c>
      <c r="DP23" s="1535">
        <v>50</v>
      </c>
      <c r="DQ23" s="1541">
        <v>50</v>
      </c>
    </row>
    <row r="24" spans="1:121" ht="21" customHeight="1" thickTop="1" thickBot="1">
      <c r="A24" s="1369"/>
      <c r="B24" s="1469"/>
      <c r="C24" s="1542" t="s">
        <v>829</v>
      </c>
      <c r="D24" s="1470"/>
      <c r="E24" s="1682" t="s">
        <v>181</v>
      </c>
      <c r="F24" s="1683"/>
      <c r="G24" s="1470"/>
      <c r="H24" s="1436" t="s">
        <v>723</v>
      </c>
      <c r="I24" s="1684"/>
      <c r="J24" s="1441"/>
      <c r="K24" s="1436" t="s">
        <v>722</v>
      </c>
      <c r="L24" s="1437"/>
      <c r="M24" s="1685"/>
      <c r="N24" s="1569" t="s">
        <v>181</v>
      </c>
      <c r="O24" s="1470"/>
      <c r="P24" s="1436" t="s">
        <v>830</v>
      </c>
      <c r="Q24" s="1479"/>
      <c r="S24" s="1446" t="s">
        <v>831</v>
      </c>
      <c r="T24" s="1480" t="s">
        <v>832</v>
      </c>
      <c r="U24" s="1320"/>
      <c r="V24" s="1325"/>
      <c r="W24" s="1320"/>
      <c r="X24" s="1882">
        <f xml:space="preserve">  SUM(X21:Y23)</f>
        <v>3972.9411764705883</v>
      </c>
      <c r="Y24" s="1882"/>
      <c r="Z24" s="1882">
        <f t="shared" ref="Z24" si="1" xml:space="preserve">  SUM(Z21:AA23)</f>
        <v>2955.8823529411766</v>
      </c>
      <c r="AA24" s="1882"/>
      <c r="AB24" s="1882">
        <f t="shared" ref="AB24" si="2" xml:space="preserve">  SUM(AB21:AC23)</f>
        <v>4807.0588235294117</v>
      </c>
      <c r="AC24" s="1882"/>
      <c r="AD24" s="1882">
        <f t="shared" ref="AD24" si="3" xml:space="preserve">  SUM(AD21:AE23)</f>
        <v>8602.9411764705874</v>
      </c>
      <c r="AE24" s="1883"/>
      <c r="AF24" s="1270" t="s">
        <v>833</v>
      </c>
      <c r="AK24" s="1686"/>
      <c r="AL24" s="1687" t="s">
        <v>834</v>
      </c>
      <c r="AM24" s="1387"/>
      <c r="AN24" s="1388"/>
      <c r="AQ24" s="1451"/>
      <c r="AR24" s="1452"/>
      <c r="AS24" s="1452"/>
      <c r="AT24" s="1452"/>
      <c r="AU24" s="1452"/>
      <c r="AV24" s="1670"/>
      <c r="AW24" s="1671"/>
      <c r="AX24" s="1452"/>
      <c r="AY24" s="1452"/>
      <c r="AZ24" s="1452"/>
      <c r="BA24" s="1452"/>
      <c r="BB24" s="1670"/>
      <c r="BC24" s="1671"/>
      <c r="BD24" s="1452"/>
      <c r="BE24" s="1452"/>
      <c r="BF24" s="1452"/>
      <c r="BG24" s="1452"/>
      <c r="BH24" s="1670"/>
      <c r="BI24" s="1671"/>
      <c r="BJ24" s="1452"/>
      <c r="BK24" s="1452"/>
      <c r="BL24" s="1452"/>
      <c r="BM24" s="1452"/>
      <c r="BN24" s="1458"/>
      <c r="BO24" s="1390" t="s">
        <v>835</v>
      </c>
      <c r="BP24" s="1390"/>
      <c r="BQ24" s="1451"/>
      <c r="BR24" s="1452"/>
      <c r="BS24" s="1452"/>
      <c r="BT24" s="1452"/>
      <c r="BU24" s="1452"/>
      <c r="BV24" s="1688"/>
      <c r="BW24" s="1452"/>
      <c r="BX24" s="1458"/>
      <c r="BY24" s="1451"/>
      <c r="BZ24" s="1452"/>
      <c r="CA24" s="1452"/>
      <c r="CB24" s="1452"/>
      <c r="CC24" s="1452"/>
      <c r="CD24" s="1688"/>
      <c r="CE24" s="1452"/>
      <c r="CF24" s="1458"/>
      <c r="CG24" s="1451"/>
      <c r="CH24" s="1452"/>
      <c r="CI24" s="1452"/>
      <c r="CJ24" s="1452"/>
      <c r="CK24" s="1452"/>
      <c r="CL24" s="1688"/>
      <c r="CM24" s="1452"/>
      <c r="CN24" s="1458"/>
      <c r="CO24" s="1451"/>
      <c r="CP24" s="1452"/>
      <c r="CQ24" s="1452"/>
      <c r="CR24" s="1452"/>
      <c r="CS24" s="1452"/>
      <c r="CT24" s="1688"/>
      <c r="CU24" s="1452"/>
      <c r="CV24" s="1458"/>
      <c r="CY24" s="1598">
        <v>12</v>
      </c>
      <c r="CZ24" s="1599">
        <v>11</v>
      </c>
      <c r="DA24" s="1600" t="s">
        <v>836</v>
      </c>
      <c r="DB24" s="1601">
        <v>65</v>
      </c>
      <c r="DC24" s="1602">
        <v>35</v>
      </c>
      <c r="DD24" s="1603">
        <v>30</v>
      </c>
      <c r="DE24" s="1689">
        <v>35</v>
      </c>
      <c r="DF24" s="1690">
        <v>35</v>
      </c>
      <c r="DG24" s="1606">
        <f t="shared" si="0"/>
        <v>65</v>
      </c>
      <c r="DH24" s="1607">
        <v>50</v>
      </c>
      <c r="DI24" s="1608">
        <v>80</v>
      </c>
      <c r="DJ24" s="1601">
        <v>0</v>
      </c>
      <c r="DK24" s="1601">
        <v>0</v>
      </c>
      <c r="DL24" s="1601">
        <v>0</v>
      </c>
      <c r="DM24" s="1601">
        <v>0</v>
      </c>
      <c r="DN24" s="1604">
        <v>0</v>
      </c>
      <c r="DO24" s="1605">
        <v>95</v>
      </c>
      <c r="DP24" s="1601">
        <v>50</v>
      </c>
      <c r="DQ24" s="1609">
        <v>50</v>
      </c>
    </row>
    <row r="25" spans="1:121" ht="21" customHeight="1" thickBot="1">
      <c r="A25" s="1369"/>
      <c r="B25" s="1691"/>
      <c r="C25" s="1692"/>
      <c r="D25" s="1693"/>
      <c r="E25" s="1694"/>
      <c r="F25" s="1695"/>
      <c r="G25" s="1692"/>
      <c r="H25" s="1693"/>
      <c r="I25" s="1694"/>
      <c r="J25" s="1695"/>
      <c r="K25" s="1692"/>
      <c r="L25" s="1693"/>
      <c r="M25" s="1694"/>
      <c r="N25" s="1695"/>
      <c r="O25" s="1692"/>
      <c r="P25" s="1693"/>
      <c r="Q25" s="1694"/>
      <c r="S25" s="1446" t="s">
        <v>837</v>
      </c>
      <c r="T25" s="1590" t="s">
        <v>838</v>
      </c>
      <c r="U25" s="1390"/>
      <c r="V25" s="1390"/>
      <c r="W25" s="1390"/>
      <c r="X25" s="1884">
        <f xml:space="preserve"> X24 * $U$7</f>
        <v>5959.4117647058829</v>
      </c>
      <c r="Y25" s="1884"/>
      <c r="Z25" s="1884">
        <f t="shared" ref="Z25" si="4" xml:space="preserve"> Z24 * $U$7</f>
        <v>4433.8235294117649</v>
      </c>
      <c r="AA25" s="1884"/>
      <c r="AB25" s="1884">
        <f t="shared" ref="AB25" si="5" xml:space="preserve"> AB24 * $U$7</f>
        <v>7210.5882352941171</v>
      </c>
      <c r="AC25" s="1884"/>
      <c r="AD25" s="1884">
        <f t="shared" ref="AD25" si="6" xml:space="preserve"> AD24 * $U$7</f>
        <v>12904.411764705881</v>
      </c>
      <c r="AE25" s="1885"/>
      <c r="AF25" s="1270" t="s">
        <v>839</v>
      </c>
      <c r="AK25" s="1696"/>
      <c r="AL25" s="1697" t="s">
        <v>840</v>
      </c>
      <c r="AM25" s="1671"/>
      <c r="AN25" s="1698"/>
      <c r="AQ25" s="1699" t="s">
        <v>841</v>
      </c>
      <c r="AR25" s="1281"/>
      <c r="AS25" s="1281"/>
      <c r="AT25" s="1700"/>
      <c r="AU25" s="1700"/>
      <c r="AV25" s="1701"/>
      <c r="AW25" s="1311" t="s">
        <v>842</v>
      </c>
      <c r="AX25" s="1281"/>
      <c r="AY25" s="1281"/>
      <c r="AZ25" s="1700"/>
      <c r="BA25" s="1700"/>
      <c r="BB25" s="1702"/>
      <c r="BC25" s="1311" t="s">
        <v>843</v>
      </c>
      <c r="BD25" s="1281"/>
      <c r="BE25" s="1281"/>
      <c r="BF25" s="1700"/>
      <c r="BG25" s="1700"/>
      <c r="BH25" s="1702"/>
      <c r="BI25" s="1311" t="s">
        <v>844</v>
      </c>
      <c r="BJ25" s="1281"/>
      <c r="BK25" s="1281"/>
      <c r="BL25" s="1700"/>
      <c r="BM25" s="1700"/>
      <c r="BN25" s="1326"/>
      <c r="BP25" s="1268"/>
      <c r="BQ25" s="1309"/>
      <c r="BR25" s="1310" t="s">
        <v>645</v>
      </c>
      <c r="BS25" s="1272"/>
      <c r="BT25" s="1272"/>
      <c r="BU25" s="1272"/>
      <c r="BV25" s="1272"/>
      <c r="BW25" s="1272"/>
      <c r="BX25" s="1297"/>
      <c r="BY25" s="1309"/>
      <c r="BZ25" s="1310" t="s">
        <v>646</v>
      </c>
      <c r="CA25" s="1272"/>
      <c r="CB25" s="1272"/>
      <c r="CC25" s="1272"/>
      <c r="CD25" s="1272"/>
      <c r="CE25" s="1272"/>
      <c r="CF25" s="1297"/>
      <c r="CG25" s="1309"/>
      <c r="CH25" s="1310" t="s">
        <v>647</v>
      </c>
      <c r="CI25" s="1272"/>
      <c r="CJ25" s="1272"/>
      <c r="CK25" s="1272"/>
      <c r="CL25" s="1272"/>
      <c r="CM25" s="1272"/>
      <c r="CN25" s="1297"/>
      <c r="CO25" s="1309"/>
      <c r="CP25" s="1310" t="s">
        <v>648</v>
      </c>
      <c r="CQ25" s="1272"/>
      <c r="CR25" s="1272"/>
      <c r="CS25" s="1272"/>
      <c r="CT25" s="1272"/>
      <c r="CU25" s="1272"/>
      <c r="CV25" s="1297"/>
      <c r="CY25" s="1617">
        <v>13</v>
      </c>
      <c r="CZ25" s="1618">
        <v>12</v>
      </c>
      <c r="DA25" s="1619" t="s">
        <v>845</v>
      </c>
      <c r="DB25" s="1620">
        <v>65</v>
      </c>
      <c r="DC25" s="1618">
        <v>25</v>
      </c>
      <c r="DD25" s="1621">
        <v>50</v>
      </c>
      <c r="DE25" s="1625">
        <v>35</v>
      </c>
      <c r="DF25" s="1623">
        <v>40</v>
      </c>
      <c r="DG25" s="1540">
        <f t="shared" si="0"/>
        <v>65</v>
      </c>
      <c r="DH25" s="1624">
        <v>50</v>
      </c>
      <c r="DI25" s="1620">
        <v>80</v>
      </c>
      <c r="DJ25" s="1625">
        <v>0</v>
      </c>
      <c r="DK25" s="1625">
        <v>0</v>
      </c>
      <c r="DL25" s="1625">
        <v>0</v>
      </c>
      <c r="DM25" s="1625">
        <v>0</v>
      </c>
      <c r="DN25" s="1625">
        <v>0</v>
      </c>
      <c r="DO25" s="1626">
        <v>95</v>
      </c>
      <c r="DP25" s="1620">
        <v>50</v>
      </c>
      <c r="DQ25" s="1627">
        <v>50</v>
      </c>
    </row>
    <row r="26" spans="1:121" ht="21" customHeight="1" thickTop="1" thickBot="1">
      <c r="B26" s="1375" t="s">
        <v>846</v>
      </c>
      <c r="C26" s="1347"/>
      <c r="D26" s="1703"/>
      <c r="E26" s="1347"/>
      <c r="F26" s="1703"/>
      <c r="G26" s="1703"/>
      <c r="H26" s="1703"/>
      <c r="I26" s="1703"/>
      <c r="J26" s="1347"/>
      <c r="K26" s="1329"/>
      <c r="L26" s="1368"/>
      <c r="M26" s="1347"/>
      <c r="N26" s="1347"/>
      <c r="O26" s="1347"/>
      <c r="P26" s="1347"/>
      <c r="Q26" s="1347"/>
      <c r="R26" s="1347"/>
      <c r="S26" s="1446" t="s">
        <v>847</v>
      </c>
      <c r="T26" s="1704" t="s">
        <v>848</v>
      </c>
      <c r="U26" s="1338"/>
      <c r="V26" s="1338"/>
      <c r="W26" s="1338"/>
      <c r="X26" s="1880">
        <f>X25/X19</f>
        <v>1.9806451612903226</v>
      </c>
      <c r="Y26" s="1880"/>
      <c r="Z26" s="1880">
        <f t="shared" ref="Z26" si="7">Z25/Z19</f>
        <v>2.09375</v>
      </c>
      <c r="AA26" s="1880"/>
      <c r="AB26" s="1880">
        <f t="shared" ref="AB26" si="8">AB25/AB19</f>
        <v>1.9273584905660375</v>
      </c>
      <c r="AC26" s="1880"/>
      <c r="AD26" s="1880">
        <f t="shared" ref="AD26" si="9">AD25/AD19</f>
        <v>1.8281249999999998</v>
      </c>
      <c r="AE26" s="1881"/>
      <c r="AF26" s="1270" t="s">
        <v>849</v>
      </c>
      <c r="AK26" s="1705"/>
      <c r="AL26" s="1687" t="s">
        <v>850</v>
      </c>
      <c r="AM26" s="1706"/>
      <c r="AN26" s="1707"/>
      <c r="AQ26" s="1708" t="s">
        <v>851</v>
      </c>
      <c r="AR26" s="1268"/>
      <c r="AS26" s="1268"/>
      <c r="AT26" s="1268"/>
      <c r="AU26" s="1268"/>
      <c r="AV26" s="1709"/>
      <c r="AW26" s="1708" t="s">
        <v>851</v>
      </c>
      <c r="AX26" s="1268"/>
      <c r="AY26" s="1268"/>
      <c r="AZ26" s="1268"/>
      <c r="BA26" s="1268"/>
      <c r="BB26" s="1709"/>
      <c r="BC26" s="1708" t="s">
        <v>851</v>
      </c>
      <c r="BD26" s="1268"/>
      <c r="BE26" s="1268"/>
      <c r="BF26" s="1268"/>
      <c r="BG26" s="1268"/>
      <c r="BH26" s="1709"/>
      <c r="BI26" s="1708" t="s">
        <v>851</v>
      </c>
      <c r="BJ26" s="1268"/>
      <c r="BK26" s="1268"/>
      <c r="BL26" s="1268"/>
      <c r="BM26" s="1268"/>
      <c r="BN26" s="1709"/>
      <c r="BO26" s="1268"/>
      <c r="BP26" s="1268"/>
      <c r="BR26" s="1270" t="s">
        <v>852</v>
      </c>
      <c r="CY26" s="1532">
        <v>14</v>
      </c>
      <c r="CZ26" s="1533">
        <v>13</v>
      </c>
      <c r="DA26" s="1534" t="s">
        <v>853</v>
      </c>
      <c r="DB26" s="1535">
        <v>65</v>
      </c>
      <c r="DC26" s="1536">
        <v>25</v>
      </c>
      <c r="DD26" s="1639">
        <v>90</v>
      </c>
      <c r="DE26" s="1640">
        <v>30</v>
      </c>
      <c r="DF26" s="1641">
        <v>35</v>
      </c>
      <c r="DG26" s="1540">
        <f t="shared" si="0"/>
        <v>65</v>
      </c>
      <c r="DH26" s="1537">
        <v>50</v>
      </c>
      <c r="DI26" s="1535">
        <v>80</v>
      </c>
      <c r="DJ26" s="1538">
        <v>0</v>
      </c>
      <c r="DK26" s="1538">
        <v>0</v>
      </c>
      <c r="DL26" s="1538">
        <v>0</v>
      </c>
      <c r="DM26" s="1538">
        <v>0</v>
      </c>
      <c r="DN26" s="1640">
        <v>100</v>
      </c>
      <c r="DO26" s="1641">
        <v>75</v>
      </c>
      <c r="DP26" s="1638">
        <v>100</v>
      </c>
      <c r="DQ26" s="1710">
        <v>70</v>
      </c>
    </row>
    <row r="27" spans="1:121" ht="21" customHeight="1" thickBot="1">
      <c r="A27" s="1269"/>
      <c r="C27" s="1711"/>
      <c r="D27" s="1712"/>
      <c r="E27" s="1315"/>
      <c r="F27" s="1713" t="s">
        <v>854</v>
      </c>
      <c r="G27" s="1714"/>
      <c r="H27" s="1714"/>
      <c r="I27" s="1712"/>
      <c r="J27" s="1715"/>
      <c r="K27" s="1375" t="s">
        <v>855</v>
      </c>
      <c r="L27" s="1347"/>
      <c r="M27" s="1716"/>
      <c r="N27" s="1347"/>
      <c r="O27" s="1347"/>
      <c r="P27" s="1347"/>
      <c r="Q27" s="1347"/>
      <c r="R27" s="1347"/>
      <c r="S27" s="1368"/>
      <c r="T27" s="1368"/>
      <c r="U27" s="1368"/>
      <c r="V27" s="1368"/>
      <c r="W27" s="1368"/>
      <c r="X27" s="1368"/>
      <c r="Y27" s="1368"/>
      <c r="Z27" s="1368"/>
      <c r="AA27" s="1368"/>
      <c r="AB27" s="1368"/>
      <c r="AC27" s="1368"/>
      <c r="AD27" s="1368"/>
      <c r="AE27" s="1368"/>
      <c r="AF27" s="1368"/>
      <c r="AG27" s="1368"/>
      <c r="AH27" s="1368"/>
      <c r="AI27" s="1368"/>
      <c r="AJ27" s="1368"/>
      <c r="AK27" s="1717"/>
      <c r="AL27" s="1718" t="s">
        <v>856</v>
      </c>
      <c r="AM27" s="1719"/>
      <c r="AN27" s="1720"/>
      <c r="AQ27" s="1708" t="s">
        <v>857</v>
      </c>
      <c r="AR27" s="1268"/>
      <c r="AS27" s="1268"/>
      <c r="AU27" s="1858">
        <f>X16</f>
        <v>17</v>
      </c>
      <c r="AV27" s="1871"/>
      <c r="AW27" s="1708" t="s">
        <v>857</v>
      </c>
      <c r="AX27" s="1268"/>
      <c r="AY27" s="1268"/>
      <c r="BA27" s="1858">
        <f>Z16</f>
        <v>15</v>
      </c>
      <c r="BB27" s="1871"/>
      <c r="BC27" s="1708" t="s">
        <v>857</v>
      </c>
      <c r="BD27" s="1268"/>
      <c r="BE27" s="1268"/>
      <c r="BG27" s="1858">
        <f>AB16</f>
        <v>20</v>
      </c>
      <c r="BH27" s="1871"/>
      <c r="BI27" s="1708" t="s">
        <v>857</v>
      </c>
      <c r="BJ27" s="1268"/>
      <c r="BK27" s="1268"/>
      <c r="BM27" s="1858">
        <f>AD16</f>
        <v>30</v>
      </c>
      <c r="BN27" s="1871"/>
      <c r="BO27" s="1268"/>
      <c r="BP27" s="1721"/>
      <c r="BQ27" s="1722"/>
      <c r="BR27" s="1268" t="s">
        <v>858</v>
      </c>
      <c r="BS27" s="1268"/>
      <c r="BT27" s="1268"/>
      <c r="BU27" s="1850">
        <f xml:space="preserve"> $AM$4 * $AG$7 * AB30</f>
        <v>2500</v>
      </c>
      <c r="BV27" s="1851"/>
      <c r="BW27" s="1852"/>
      <c r="BX27" s="1709"/>
      <c r="BY27" s="1722"/>
      <c r="BZ27" s="1268" t="s">
        <v>858</v>
      </c>
      <c r="CA27" s="1268"/>
      <c r="CB27" s="1268"/>
      <c r="CC27" s="1850">
        <f xml:space="preserve"> $AM$4 * $AG$7 * AD30</f>
        <v>4000</v>
      </c>
      <c r="CD27" s="1851"/>
      <c r="CE27" s="1852"/>
      <c r="CF27" s="1709"/>
      <c r="CG27" s="1722"/>
      <c r="CH27" s="1268" t="s">
        <v>858</v>
      </c>
      <c r="CI27" s="1268"/>
      <c r="CJ27" s="1268"/>
      <c r="CK27" s="1850">
        <f xml:space="preserve"> $AM$4 * $AG$7 * AD30</f>
        <v>4000</v>
      </c>
      <c r="CL27" s="1851"/>
      <c r="CM27" s="1852"/>
      <c r="CN27" s="1709"/>
      <c r="CO27" s="1722"/>
      <c r="CP27" s="1268" t="s">
        <v>858</v>
      </c>
      <c r="CQ27" s="1268"/>
      <c r="CR27" s="1268"/>
      <c r="CS27" s="1850">
        <f xml:space="preserve"> $AM$4 * $AG$7 * AH30</f>
        <v>300</v>
      </c>
      <c r="CT27" s="1851"/>
      <c r="CU27" s="1852"/>
      <c r="CV27" s="1709"/>
      <c r="CY27" s="1558">
        <v>15</v>
      </c>
      <c r="CZ27" s="1559">
        <v>14</v>
      </c>
      <c r="DA27" s="1560" t="s">
        <v>859</v>
      </c>
      <c r="DB27" s="1561">
        <v>65</v>
      </c>
      <c r="DC27" s="1562">
        <v>25</v>
      </c>
      <c r="DD27" s="1653">
        <v>30</v>
      </c>
      <c r="DE27" s="1564">
        <v>30</v>
      </c>
      <c r="DF27" s="1565">
        <v>35</v>
      </c>
      <c r="DG27" s="1566">
        <f t="shared" si="0"/>
        <v>65</v>
      </c>
      <c r="DH27" s="1653">
        <v>5</v>
      </c>
      <c r="DI27" s="1656">
        <v>5</v>
      </c>
      <c r="DJ27" s="1564">
        <v>0</v>
      </c>
      <c r="DK27" s="1564">
        <v>0</v>
      </c>
      <c r="DL27" s="1564">
        <v>0</v>
      </c>
      <c r="DM27" s="1564">
        <v>0</v>
      </c>
      <c r="DN27" s="1564">
        <v>100</v>
      </c>
      <c r="DO27" s="1565">
        <v>75</v>
      </c>
      <c r="DP27" s="1561">
        <v>100</v>
      </c>
      <c r="DQ27" s="1567">
        <v>70</v>
      </c>
    </row>
    <row r="28" spans="1:121" ht="21" customHeight="1" thickBot="1">
      <c r="A28" s="1269"/>
      <c r="B28" s="1723"/>
      <c r="C28" s="1724"/>
      <c r="D28" s="1724"/>
      <c r="E28" s="1725" t="s">
        <v>860</v>
      </c>
      <c r="F28" s="1724"/>
      <c r="G28" s="1724"/>
      <c r="H28" s="1724"/>
      <c r="I28" s="1724"/>
      <c r="J28" s="1724"/>
      <c r="K28" s="1726"/>
      <c r="O28" s="1727"/>
      <c r="P28" s="1728"/>
      <c r="Q28" s="1729" t="s">
        <v>861</v>
      </c>
      <c r="V28" s="1877" t="s">
        <v>711</v>
      </c>
      <c r="W28" s="1320"/>
      <c r="X28" s="1320"/>
      <c r="Y28" s="1380" t="s">
        <v>712</v>
      </c>
      <c r="Z28" s="1381"/>
      <c r="AA28" s="1381"/>
      <c r="AB28" s="1879" t="s">
        <v>713</v>
      </c>
      <c r="AC28" s="1879"/>
      <c r="AD28" s="1879" t="s">
        <v>714</v>
      </c>
      <c r="AE28" s="1879"/>
      <c r="AF28" s="1879" t="s">
        <v>715</v>
      </c>
      <c r="AG28" s="1879"/>
      <c r="AH28" s="1879" t="s">
        <v>716</v>
      </c>
      <c r="AI28" s="1879"/>
      <c r="AO28" s="1269"/>
      <c r="AQ28" s="1708" t="s">
        <v>862</v>
      </c>
      <c r="AR28" s="1268"/>
      <c r="AS28" s="1268"/>
      <c r="AT28" s="1861">
        <f>AB33</f>
        <v>34000</v>
      </c>
      <c r="AU28" s="1862"/>
      <c r="AV28" s="1863"/>
      <c r="AW28" s="1708" t="s">
        <v>862</v>
      </c>
      <c r="AX28" s="1268"/>
      <c r="AY28" s="1268"/>
      <c r="AZ28" s="1861">
        <f>AD33</f>
        <v>48000</v>
      </c>
      <c r="BA28" s="1862"/>
      <c r="BB28" s="1863"/>
      <c r="BC28" s="1708" t="s">
        <v>862</v>
      </c>
      <c r="BD28" s="1268"/>
      <c r="BE28" s="1268"/>
      <c r="BF28" s="1861">
        <f>AF33</f>
        <v>16000</v>
      </c>
      <c r="BG28" s="1862"/>
      <c r="BH28" s="1863"/>
      <c r="BI28" s="1708" t="s">
        <v>862</v>
      </c>
      <c r="BJ28" s="1268"/>
      <c r="BK28" s="1268"/>
      <c r="BL28" s="1861">
        <f>AH33</f>
        <v>7200</v>
      </c>
      <c r="BM28" s="1862"/>
      <c r="BN28" s="1863"/>
      <c r="BO28" s="1721"/>
      <c r="BP28" s="1721"/>
      <c r="BQ28" s="1722"/>
      <c r="BR28" s="1268" t="s">
        <v>863</v>
      </c>
      <c r="BS28" s="1268"/>
      <c r="BT28" s="1268"/>
      <c r="BU28" s="1268"/>
      <c r="BV28" s="1826"/>
      <c r="BW28" s="1827"/>
      <c r="BX28" s="1709"/>
      <c r="BY28" s="1722"/>
      <c r="BZ28" s="1268" t="s">
        <v>863</v>
      </c>
      <c r="CA28" s="1268"/>
      <c r="CB28" s="1268"/>
      <c r="CC28" s="1268"/>
      <c r="CD28" s="1826"/>
      <c r="CE28" s="1827"/>
      <c r="CF28" s="1709"/>
      <c r="CG28" s="1722"/>
      <c r="CH28" s="1268" t="s">
        <v>863</v>
      </c>
      <c r="CI28" s="1268"/>
      <c r="CJ28" s="1268"/>
      <c r="CK28" s="1268"/>
      <c r="CL28" s="1826"/>
      <c r="CM28" s="1827"/>
      <c r="CN28" s="1709"/>
      <c r="CO28" s="1722"/>
      <c r="CP28" s="1268" t="s">
        <v>863</v>
      </c>
      <c r="CQ28" s="1268"/>
      <c r="CR28" s="1268"/>
      <c r="CS28" s="1268"/>
      <c r="CT28" s="1826"/>
      <c r="CU28" s="1827"/>
      <c r="CV28" s="1709"/>
      <c r="CY28" s="1578">
        <v>16</v>
      </c>
      <c r="CZ28" s="1579">
        <v>15</v>
      </c>
      <c r="DA28" s="1580" t="s">
        <v>864</v>
      </c>
      <c r="DB28" s="1581">
        <v>65</v>
      </c>
      <c r="DC28" s="1582">
        <v>25</v>
      </c>
      <c r="DD28" s="1583">
        <v>30</v>
      </c>
      <c r="DE28" s="1584">
        <v>30</v>
      </c>
      <c r="DF28" s="1674">
        <v>30</v>
      </c>
      <c r="DG28" s="1586">
        <f t="shared" si="0"/>
        <v>65</v>
      </c>
      <c r="DH28" s="1583">
        <v>5</v>
      </c>
      <c r="DI28" s="1581">
        <v>5</v>
      </c>
      <c r="DJ28" s="1581">
        <v>0</v>
      </c>
      <c r="DK28" s="1581">
        <v>0</v>
      </c>
      <c r="DL28" s="1581">
        <v>0</v>
      </c>
      <c r="DM28" s="1581">
        <v>0</v>
      </c>
      <c r="DN28" s="1584">
        <v>100</v>
      </c>
      <c r="DO28" s="1585">
        <v>75</v>
      </c>
      <c r="DP28" s="1581">
        <v>100</v>
      </c>
      <c r="DQ28" s="1587">
        <v>70</v>
      </c>
    </row>
    <row r="29" spans="1:121" ht="21" customHeight="1" thickTop="1">
      <c r="A29" s="1269"/>
      <c r="C29" s="1730"/>
      <c r="D29" s="1731"/>
      <c r="E29" s="1732"/>
      <c r="F29" s="1733"/>
      <c r="G29" s="1734"/>
      <c r="H29" s="1735"/>
      <c r="I29" s="1736"/>
      <c r="J29" s="1737"/>
      <c r="K29" s="1270"/>
      <c r="L29" s="1270"/>
      <c r="O29" s="1738"/>
      <c r="P29" s="1739"/>
      <c r="Q29" s="1270"/>
      <c r="R29" s="1729" t="s">
        <v>865</v>
      </c>
      <c r="V29" s="1878"/>
      <c r="W29" s="1740" t="s">
        <v>866</v>
      </c>
      <c r="X29" s="1741"/>
      <c r="Y29" s="1742"/>
      <c r="Z29" s="1874" t="s">
        <v>867</v>
      </c>
      <c r="AA29" s="1874"/>
      <c r="AB29" s="1875" t="s">
        <v>722</v>
      </c>
      <c r="AC29" s="1875"/>
      <c r="AD29" s="1875" t="s">
        <v>723</v>
      </c>
      <c r="AE29" s="1875"/>
      <c r="AF29" s="1875" t="s">
        <v>724</v>
      </c>
      <c r="AG29" s="1875"/>
      <c r="AH29" s="1875" t="s">
        <v>725</v>
      </c>
      <c r="AI29" s="1876"/>
      <c r="AP29" s="1269"/>
      <c r="AQ29" s="1270" t="s">
        <v>868</v>
      </c>
      <c r="AU29" s="1864"/>
      <c r="AV29" s="1865"/>
      <c r="AW29" s="1270" t="s">
        <v>868</v>
      </c>
      <c r="BA29" s="1864"/>
      <c r="BB29" s="1865"/>
      <c r="BC29" s="1270" t="s">
        <v>868</v>
      </c>
      <c r="BG29" s="1864"/>
      <c r="BH29" s="1865"/>
      <c r="BI29" s="1270" t="s">
        <v>868</v>
      </c>
      <c r="BM29" s="1864"/>
      <c r="BN29" s="1865"/>
      <c r="BO29" s="1721"/>
      <c r="BP29" s="1721"/>
      <c r="BQ29" s="1722"/>
      <c r="BR29" s="1268" t="s">
        <v>869</v>
      </c>
      <c r="BS29" s="1268"/>
      <c r="BT29" s="1268"/>
      <c r="BU29" s="1850">
        <f xml:space="preserve"> $AM$5 * $AG$7 * AB30</f>
        <v>12500</v>
      </c>
      <c r="BV29" s="1851"/>
      <c r="BW29" s="1852"/>
      <c r="BX29" s="1709"/>
      <c r="BY29" s="1722"/>
      <c r="BZ29" s="1268" t="s">
        <v>869</v>
      </c>
      <c r="CA29" s="1268"/>
      <c r="CB29" s="1268"/>
      <c r="CC29" s="1850">
        <f xml:space="preserve"> $AM$5 * $AG$7 * AD30</f>
        <v>20000</v>
      </c>
      <c r="CD29" s="1851"/>
      <c r="CE29" s="1852"/>
      <c r="CF29" s="1709"/>
      <c r="CG29" s="1722"/>
      <c r="CH29" s="1268" t="s">
        <v>869</v>
      </c>
      <c r="CI29" s="1268"/>
      <c r="CJ29" s="1268"/>
      <c r="CK29" s="1850">
        <f xml:space="preserve"> $AM$5 * $AG$7 * AF30</f>
        <v>5000</v>
      </c>
      <c r="CL29" s="1851"/>
      <c r="CM29" s="1852"/>
      <c r="CN29" s="1709"/>
      <c r="CO29" s="1722"/>
      <c r="CP29" s="1268" t="s">
        <v>869</v>
      </c>
      <c r="CQ29" s="1268"/>
      <c r="CR29" s="1268"/>
      <c r="CS29" s="1850">
        <f xml:space="preserve"> $AM$5 * $AG$7 * AH30</f>
        <v>1500</v>
      </c>
      <c r="CT29" s="1851"/>
      <c r="CU29" s="1852"/>
      <c r="CV29" s="1709"/>
      <c r="CY29" s="1532">
        <v>17</v>
      </c>
      <c r="CZ29" s="1533">
        <v>16</v>
      </c>
      <c r="DA29" s="1534" t="s">
        <v>870</v>
      </c>
      <c r="DB29" s="1638">
        <v>80</v>
      </c>
      <c r="DC29" s="1536">
        <v>25</v>
      </c>
      <c r="DD29" s="1537">
        <v>30</v>
      </c>
      <c r="DE29" s="1640">
        <v>40</v>
      </c>
      <c r="DF29" s="1539">
        <v>30</v>
      </c>
      <c r="DG29" s="1642">
        <f t="shared" si="0"/>
        <v>80</v>
      </c>
      <c r="DH29" s="1537">
        <v>5</v>
      </c>
      <c r="DI29" s="1535">
        <v>5</v>
      </c>
      <c r="DJ29" s="1535">
        <v>0</v>
      </c>
      <c r="DK29" s="1535">
        <v>0</v>
      </c>
      <c r="DL29" s="1535">
        <v>0</v>
      </c>
      <c r="DM29" s="1535">
        <v>0</v>
      </c>
      <c r="DN29" s="1640">
        <v>0</v>
      </c>
      <c r="DO29" s="1641">
        <v>95</v>
      </c>
      <c r="DP29" s="1638">
        <v>50</v>
      </c>
      <c r="DQ29" s="1710">
        <v>50</v>
      </c>
    </row>
    <row r="30" spans="1:121" ht="21" customHeight="1" thickBot="1">
      <c r="A30" s="1269"/>
      <c r="C30" s="1872" t="s">
        <v>871</v>
      </c>
      <c r="D30" s="1743"/>
      <c r="E30" s="1744"/>
      <c r="F30" s="1738"/>
      <c r="G30" s="1745"/>
      <c r="H30" s="1746"/>
      <c r="I30" s="1747"/>
      <c r="J30" s="1872" t="s">
        <v>872</v>
      </c>
      <c r="K30" s="1270"/>
      <c r="L30" s="1270"/>
      <c r="M30" s="1270"/>
      <c r="N30" s="1270"/>
      <c r="O30" s="1738"/>
      <c r="P30" s="1739"/>
      <c r="Q30" s="1270"/>
      <c r="R30" s="1270"/>
      <c r="V30" s="1446" t="s">
        <v>873</v>
      </c>
      <c r="W30" s="1748" t="s">
        <v>678</v>
      </c>
      <c r="X30" s="1749"/>
      <c r="Y30" s="1268"/>
      <c r="Z30" s="1873"/>
      <c r="AA30" s="1873"/>
      <c r="AB30" s="1869">
        <v>25</v>
      </c>
      <c r="AC30" s="1869"/>
      <c r="AD30" s="1869">
        <v>40</v>
      </c>
      <c r="AE30" s="1869"/>
      <c r="AF30" s="1869">
        <v>10</v>
      </c>
      <c r="AG30" s="1869"/>
      <c r="AH30" s="1869">
        <v>3</v>
      </c>
      <c r="AI30" s="1870"/>
      <c r="AJ30" s="1750" t="s">
        <v>780</v>
      </c>
      <c r="AK30" s="1552"/>
      <c r="AL30" s="1552"/>
      <c r="AM30" s="1553"/>
      <c r="AQ30" s="1708" t="s">
        <v>874</v>
      </c>
      <c r="AR30" s="1268"/>
      <c r="AS30" s="1268"/>
      <c r="AU30" s="1858">
        <f>X17</f>
        <v>23</v>
      </c>
      <c r="AV30" s="1871"/>
      <c r="AW30" s="1708" t="s">
        <v>874</v>
      </c>
      <c r="AX30" s="1268"/>
      <c r="AY30" s="1268"/>
      <c r="BA30" s="1858">
        <f>Z17</f>
        <v>15</v>
      </c>
      <c r="BB30" s="1871"/>
      <c r="BC30" s="1708" t="s">
        <v>874</v>
      </c>
      <c r="BD30" s="1268"/>
      <c r="BE30" s="1268"/>
      <c r="BG30" s="1858">
        <f>AB17</f>
        <v>28</v>
      </c>
      <c r="BH30" s="1871"/>
      <c r="BI30" s="1708" t="s">
        <v>874</v>
      </c>
      <c r="BJ30" s="1268"/>
      <c r="BK30" s="1268"/>
      <c r="BM30" s="1858">
        <f>AD17</f>
        <v>55</v>
      </c>
      <c r="BN30" s="1871"/>
      <c r="BO30" s="1721"/>
      <c r="BP30" s="1721"/>
      <c r="BQ30" s="1722"/>
      <c r="BR30" s="1268" t="s">
        <v>875</v>
      </c>
      <c r="BS30" s="1268"/>
      <c r="BT30" s="1268"/>
      <c r="BU30" s="1268"/>
      <c r="BV30" s="1826"/>
      <c r="BW30" s="1827"/>
      <c r="BX30" s="1709"/>
      <c r="BY30" s="1722"/>
      <c r="BZ30" s="1268" t="s">
        <v>875</v>
      </c>
      <c r="CA30" s="1268"/>
      <c r="CB30" s="1268"/>
      <c r="CC30" s="1268"/>
      <c r="CD30" s="1826"/>
      <c r="CE30" s="1827"/>
      <c r="CF30" s="1709"/>
      <c r="CG30" s="1722"/>
      <c r="CH30" s="1268" t="s">
        <v>875</v>
      </c>
      <c r="CI30" s="1268"/>
      <c r="CJ30" s="1268"/>
      <c r="CK30" s="1268"/>
      <c r="CL30" s="1826"/>
      <c r="CM30" s="1827"/>
      <c r="CN30" s="1709"/>
      <c r="CO30" s="1722"/>
      <c r="CP30" s="1268" t="s">
        <v>875</v>
      </c>
      <c r="CQ30" s="1268"/>
      <c r="CR30" s="1268"/>
      <c r="CS30" s="1268"/>
      <c r="CT30" s="1826"/>
      <c r="CU30" s="1827"/>
      <c r="CV30" s="1709"/>
      <c r="CY30" s="1598">
        <v>18</v>
      </c>
      <c r="CZ30" s="1599">
        <v>17</v>
      </c>
      <c r="DA30" s="1600" t="s">
        <v>876</v>
      </c>
      <c r="DB30" s="1601">
        <v>80</v>
      </c>
      <c r="DC30" s="1599">
        <v>35</v>
      </c>
      <c r="DD30" s="1607">
        <v>50</v>
      </c>
      <c r="DE30" s="1689">
        <v>45</v>
      </c>
      <c r="DF30" s="1690">
        <v>50</v>
      </c>
      <c r="DG30" s="1606">
        <f t="shared" si="0"/>
        <v>80</v>
      </c>
      <c r="DH30" s="1607">
        <v>50</v>
      </c>
      <c r="DI30" s="1608">
        <v>80</v>
      </c>
      <c r="DJ30" s="1601">
        <v>0</v>
      </c>
      <c r="DK30" s="1601">
        <v>0</v>
      </c>
      <c r="DL30" s="1601">
        <v>0</v>
      </c>
      <c r="DM30" s="1601">
        <v>0</v>
      </c>
      <c r="DN30" s="1604">
        <v>0</v>
      </c>
      <c r="DO30" s="1605">
        <v>95</v>
      </c>
      <c r="DP30" s="1601">
        <v>50</v>
      </c>
      <c r="DQ30" s="1609">
        <v>50</v>
      </c>
    </row>
    <row r="31" spans="1:121" ht="21" customHeight="1">
      <c r="A31" s="1269"/>
      <c r="B31" s="1270"/>
      <c r="C31" s="1872"/>
      <c r="D31" s="1743"/>
      <c r="E31" s="1751"/>
      <c r="F31" s="1752" t="s">
        <v>877</v>
      </c>
      <c r="G31" s="1753"/>
      <c r="H31" s="1754"/>
      <c r="I31" s="1747"/>
      <c r="J31" s="1872"/>
      <c r="K31" s="1270"/>
      <c r="M31" s="1755"/>
      <c r="N31" s="1756"/>
      <c r="O31" s="1738"/>
      <c r="P31" s="1739"/>
      <c r="Q31" s="1270"/>
      <c r="R31" s="1270"/>
      <c r="V31" s="1446" t="s">
        <v>878</v>
      </c>
      <c r="W31" s="1757" t="s">
        <v>879</v>
      </c>
      <c r="X31" s="1649"/>
      <c r="Y31" s="1649"/>
      <c r="Z31" s="1866"/>
      <c r="AA31" s="1866"/>
      <c r="AB31" s="1867">
        <f xml:space="preserve"> AB30*X20</f>
        <v>501470.58823529416</v>
      </c>
      <c r="AC31" s="1867"/>
      <c r="AD31" s="1867">
        <f xml:space="preserve"> AD30*Z20</f>
        <v>564705.8823529412</v>
      </c>
      <c r="AE31" s="1867"/>
      <c r="AF31" s="1867">
        <f xml:space="preserve"> AF30*AB20</f>
        <v>249411.76470588235</v>
      </c>
      <c r="AG31" s="1867"/>
      <c r="AH31" s="1867">
        <f xml:space="preserve"> AH30*AD20</f>
        <v>141176.4705882353</v>
      </c>
      <c r="AI31" s="1868"/>
      <c r="AJ31" s="1270" t="s">
        <v>880</v>
      </c>
      <c r="AQ31" s="1708" t="s">
        <v>881</v>
      </c>
      <c r="AR31" s="1268"/>
      <c r="AS31" s="1268"/>
      <c r="AT31" s="1861">
        <f>AB34</f>
        <v>40250</v>
      </c>
      <c r="AU31" s="1862"/>
      <c r="AV31" s="1863"/>
      <c r="AW31" s="1708" t="s">
        <v>881</v>
      </c>
      <c r="AX31" s="1268"/>
      <c r="AY31" s="1268"/>
      <c r="AZ31" s="1861">
        <f>AD34</f>
        <v>42000</v>
      </c>
      <c r="BA31" s="1862"/>
      <c r="BB31" s="1863"/>
      <c r="BC31" s="1708" t="s">
        <v>881</v>
      </c>
      <c r="BD31" s="1268"/>
      <c r="BE31" s="1268"/>
      <c r="BF31" s="1861">
        <f>AF34</f>
        <v>19600</v>
      </c>
      <c r="BG31" s="1862"/>
      <c r="BH31" s="1863"/>
      <c r="BI31" s="1708" t="s">
        <v>881</v>
      </c>
      <c r="BJ31" s="1268"/>
      <c r="BK31" s="1268"/>
      <c r="BL31" s="1861">
        <f>AH34</f>
        <v>11550</v>
      </c>
      <c r="BM31" s="1862"/>
      <c r="BN31" s="1863"/>
      <c r="BO31" s="1721"/>
      <c r="BP31" s="1268"/>
      <c r="BQ31" s="1722"/>
      <c r="BR31" s="1268" t="s">
        <v>882</v>
      </c>
      <c r="BS31" s="1268"/>
      <c r="BT31" s="1268"/>
      <c r="BU31" s="1850">
        <f xml:space="preserve"> $AM$6 * $AG$7 * AB30</f>
        <v>22500</v>
      </c>
      <c r="BV31" s="1851"/>
      <c r="BW31" s="1852"/>
      <c r="BX31" s="1709"/>
      <c r="BY31" s="1722"/>
      <c r="BZ31" s="1268" t="s">
        <v>882</v>
      </c>
      <c r="CA31" s="1268"/>
      <c r="CB31" s="1268"/>
      <c r="CC31" s="1850">
        <f xml:space="preserve"> $AM$6 * $AG$7 * AD30</f>
        <v>36000</v>
      </c>
      <c r="CD31" s="1851"/>
      <c r="CE31" s="1852"/>
      <c r="CF31" s="1709"/>
      <c r="CG31" s="1722"/>
      <c r="CH31" s="1268" t="s">
        <v>882</v>
      </c>
      <c r="CI31" s="1268"/>
      <c r="CJ31" s="1268"/>
      <c r="CK31" s="1850">
        <f xml:space="preserve"> $AM$6 * $AG$7 * AF30</f>
        <v>9000</v>
      </c>
      <c r="CL31" s="1851"/>
      <c r="CM31" s="1852"/>
      <c r="CN31" s="1709"/>
      <c r="CO31" s="1722"/>
      <c r="CP31" s="1268" t="s">
        <v>882</v>
      </c>
      <c r="CQ31" s="1268"/>
      <c r="CR31" s="1268"/>
      <c r="CS31" s="1850">
        <f xml:space="preserve"> $AM$6 * $AG$7 * AH30</f>
        <v>2700</v>
      </c>
      <c r="CT31" s="1851"/>
      <c r="CU31" s="1852"/>
      <c r="CV31" s="1709"/>
      <c r="CY31" s="1617">
        <v>19</v>
      </c>
      <c r="CZ31" s="1618">
        <v>18</v>
      </c>
      <c r="DA31" s="1619" t="s">
        <v>883</v>
      </c>
      <c r="DB31" s="1758">
        <v>85</v>
      </c>
      <c r="DC31" s="1618">
        <v>70</v>
      </c>
      <c r="DD31" s="1621">
        <v>90</v>
      </c>
      <c r="DE31" s="1622">
        <v>50</v>
      </c>
      <c r="DF31" s="1626">
        <v>50</v>
      </c>
      <c r="DG31" s="1642">
        <f t="shared" si="0"/>
        <v>85</v>
      </c>
      <c r="DH31" s="1624">
        <v>50</v>
      </c>
      <c r="DI31" s="1620">
        <v>80</v>
      </c>
      <c r="DJ31" s="1625">
        <v>0</v>
      </c>
      <c r="DK31" s="1625">
        <v>0</v>
      </c>
      <c r="DL31" s="1625">
        <v>0</v>
      </c>
      <c r="DM31" s="1625">
        <v>0</v>
      </c>
      <c r="DN31" s="1622">
        <v>100</v>
      </c>
      <c r="DO31" s="1623">
        <v>75</v>
      </c>
      <c r="DP31" s="1758">
        <v>100</v>
      </c>
      <c r="DQ31" s="1759">
        <v>70</v>
      </c>
    </row>
    <row r="32" spans="1:121" ht="21" customHeight="1" thickBot="1">
      <c r="A32" s="1269"/>
      <c r="B32" s="1270"/>
      <c r="C32" s="1872"/>
      <c r="D32" s="1760"/>
      <c r="E32" s="1761"/>
      <c r="F32" s="1762" t="s">
        <v>884</v>
      </c>
      <c r="G32" s="1763"/>
      <c r="H32" s="1754"/>
      <c r="I32" s="1747"/>
      <c r="J32" s="1872"/>
      <c r="K32" s="1270"/>
      <c r="M32" s="1764"/>
      <c r="N32" s="1765"/>
      <c r="O32" s="1738"/>
      <c r="P32" s="1739"/>
      <c r="Q32" s="1270"/>
      <c r="R32" s="1270"/>
      <c r="V32" s="1446" t="s">
        <v>885</v>
      </c>
      <c r="W32" s="1480" t="s">
        <v>886</v>
      </c>
      <c r="X32" s="1268"/>
      <c r="Y32" s="1268"/>
      <c r="Z32" s="1846">
        <v>1</v>
      </c>
      <c r="AA32" s="1846"/>
      <c r="AB32" s="1833">
        <f xml:space="preserve"> $Z32 * AB$30 * X21</f>
        <v>25073.529411764706</v>
      </c>
      <c r="AC32" s="1833"/>
      <c r="AD32" s="1833">
        <f xml:space="preserve"> $Z32 * AD$30 * Z21</f>
        <v>28235.294117647063</v>
      </c>
      <c r="AE32" s="1833"/>
      <c r="AF32" s="1833">
        <f xml:space="preserve"> $Z32 * AF$30 * AB21</f>
        <v>12470.588235294117</v>
      </c>
      <c r="AG32" s="1833"/>
      <c r="AH32" s="1833">
        <f xml:space="preserve"> $Z32 * AH$30 * AD21</f>
        <v>7058.8235294117649</v>
      </c>
      <c r="AI32" s="1834"/>
      <c r="AJ32" s="1270" t="s">
        <v>887</v>
      </c>
      <c r="AQ32" s="1270" t="s">
        <v>888</v>
      </c>
      <c r="AU32" s="1864"/>
      <c r="AV32" s="1865"/>
      <c r="AW32" s="1270" t="s">
        <v>888</v>
      </c>
      <c r="BA32" s="1864"/>
      <c r="BB32" s="1865"/>
      <c r="BC32" s="1270" t="s">
        <v>888</v>
      </c>
      <c r="BG32" s="1864"/>
      <c r="BH32" s="1865"/>
      <c r="BI32" s="1270" t="s">
        <v>888</v>
      </c>
      <c r="BM32" s="1864"/>
      <c r="BN32" s="1865"/>
      <c r="BO32" s="1268"/>
      <c r="BP32" s="1721"/>
      <c r="BQ32" s="1722"/>
      <c r="BR32" s="1268" t="s">
        <v>889</v>
      </c>
      <c r="BS32" s="1268"/>
      <c r="BT32" s="1268"/>
      <c r="BU32" s="1268"/>
      <c r="BV32" s="1826"/>
      <c r="BW32" s="1827"/>
      <c r="BX32" s="1709"/>
      <c r="BY32" s="1722"/>
      <c r="BZ32" s="1268" t="s">
        <v>889</v>
      </c>
      <c r="CA32" s="1268"/>
      <c r="CB32" s="1268"/>
      <c r="CC32" s="1268"/>
      <c r="CD32" s="1826"/>
      <c r="CE32" s="1827"/>
      <c r="CF32" s="1709"/>
      <c r="CG32" s="1722"/>
      <c r="CH32" s="1268" t="s">
        <v>889</v>
      </c>
      <c r="CI32" s="1268"/>
      <c r="CJ32" s="1268"/>
      <c r="CK32" s="1268"/>
      <c r="CL32" s="1826"/>
      <c r="CM32" s="1827"/>
      <c r="CN32" s="1709"/>
      <c r="CO32" s="1722"/>
      <c r="CP32" s="1268" t="s">
        <v>889</v>
      </c>
      <c r="CQ32" s="1268"/>
      <c r="CR32" s="1268"/>
      <c r="CS32" s="1268"/>
      <c r="CT32" s="1826"/>
      <c r="CU32" s="1827"/>
      <c r="CV32" s="1709"/>
      <c r="CY32" s="1532">
        <v>20</v>
      </c>
      <c r="CZ32" s="1533">
        <v>19</v>
      </c>
      <c r="DA32" s="1534" t="s">
        <v>890</v>
      </c>
      <c r="DB32" s="1535">
        <v>85</v>
      </c>
      <c r="DC32" s="1536">
        <v>70</v>
      </c>
      <c r="DD32" s="1639">
        <v>30</v>
      </c>
      <c r="DE32" s="1640">
        <v>40</v>
      </c>
      <c r="DF32" s="1641">
        <v>40</v>
      </c>
      <c r="DG32" s="1540">
        <f t="shared" si="0"/>
        <v>85</v>
      </c>
      <c r="DH32" s="1537">
        <v>50</v>
      </c>
      <c r="DI32" s="1535">
        <v>80</v>
      </c>
      <c r="DJ32" s="1538">
        <v>0</v>
      </c>
      <c r="DK32" s="1538">
        <v>0</v>
      </c>
      <c r="DL32" s="1538">
        <v>0</v>
      </c>
      <c r="DM32" s="1538">
        <v>0</v>
      </c>
      <c r="DN32" s="1538">
        <v>100</v>
      </c>
      <c r="DO32" s="1539">
        <v>75</v>
      </c>
      <c r="DP32" s="1535">
        <v>100</v>
      </c>
      <c r="DQ32" s="1541">
        <v>70</v>
      </c>
    </row>
    <row r="33" spans="1:121" ht="21" customHeight="1">
      <c r="A33" s="1269"/>
      <c r="B33" s="1270"/>
      <c r="C33" s="1872"/>
      <c r="D33" s="1766"/>
      <c r="E33" s="1767"/>
      <c r="F33" s="1768"/>
      <c r="G33" s="1768"/>
      <c r="H33" s="1746"/>
      <c r="I33" s="1747"/>
      <c r="J33" s="1872"/>
      <c r="K33" s="1270"/>
      <c r="M33" s="1764"/>
      <c r="N33" s="1765"/>
      <c r="O33" s="1738"/>
      <c r="P33" s="1739"/>
      <c r="Q33" s="1769"/>
      <c r="R33" s="1770"/>
      <c r="V33" s="1446" t="s">
        <v>891</v>
      </c>
      <c r="W33" s="1480" t="s">
        <v>892</v>
      </c>
      <c r="X33" s="1268"/>
      <c r="Y33" s="1268"/>
      <c r="Z33" s="1846">
        <v>1</v>
      </c>
      <c r="AA33" s="1846"/>
      <c r="AB33" s="1833">
        <f xml:space="preserve"> $Z33 * AB$30 * X22</f>
        <v>34000</v>
      </c>
      <c r="AC33" s="1833"/>
      <c r="AD33" s="1833">
        <f xml:space="preserve"> $Z33 * AD$30 * Z22</f>
        <v>48000</v>
      </c>
      <c r="AE33" s="1833"/>
      <c r="AF33" s="1833">
        <f xml:space="preserve"> $Z33 * AF$30 * AB22</f>
        <v>16000</v>
      </c>
      <c r="AG33" s="1833"/>
      <c r="AH33" s="1833">
        <f xml:space="preserve"> $Z33 * AH$30 * AD22</f>
        <v>7200</v>
      </c>
      <c r="AI33" s="1834"/>
      <c r="AJ33" s="1270" t="s">
        <v>893</v>
      </c>
      <c r="AQ33" s="1708" t="s">
        <v>894</v>
      </c>
      <c r="AR33" s="1268"/>
      <c r="AS33" s="1268"/>
      <c r="AT33" s="1855">
        <f>AB36</f>
        <v>148985.29411764708</v>
      </c>
      <c r="AU33" s="1856"/>
      <c r="AV33" s="1857"/>
      <c r="AW33" s="1708" t="s">
        <v>894</v>
      </c>
      <c r="AX33" s="1268"/>
      <c r="AY33" s="1268"/>
      <c r="AZ33" s="1855">
        <f>AD36</f>
        <v>177352.9411764706</v>
      </c>
      <c r="BA33" s="1856"/>
      <c r="BB33" s="1857"/>
      <c r="BC33" s="1708" t="s">
        <v>894</v>
      </c>
      <c r="BD33" s="1268"/>
      <c r="BE33" s="1268"/>
      <c r="BF33" s="1858">
        <f>AF36</f>
        <v>72105.882352941175</v>
      </c>
      <c r="BG33" s="1859"/>
      <c r="BH33" s="1860"/>
      <c r="BI33" s="1708" t="s">
        <v>894</v>
      </c>
      <c r="BJ33" s="1268"/>
      <c r="BK33" s="1268"/>
      <c r="BL33" s="1861">
        <f>AH36</f>
        <v>38713.235294117643</v>
      </c>
      <c r="BM33" s="1862"/>
      <c r="BN33" s="1863"/>
      <c r="BO33" s="1721"/>
      <c r="BP33" s="1721"/>
      <c r="BQ33" s="1722"/>
      <c r="BR33" s="1268" t="s">
        <v>895</v>
      </c>
      <c r="BS33" s="1268"/>
      <c r="BT33" s="1268"/>
      <c r="BU33" s="1850">
        <f xml:space="preserve"> $AM$7 * $AG$7 * AB30</f>
        <v>2500</v>
      </c>
      <c r="BV33" s="1851"/>
      <c r="BW33" s="1852"/>
      <c r="BX33" s="1709"/>
      <c r="BY33" s="1722"/>
      <c r="BZ33" s="1268" t="s">
        <v>895</v>
      </c>
      <c r="CA33" s="1268"/>
      <c r="CB33" s="1268"/>
      <c r="CC33" s="1850">
        <f xml:space="preserve"> $AM$7 * $AG$7 * AD30</f>
        <v>4000</v>
      </c>
      <c r="CD33" s="1851"/>
      <c r="CE33" s="1852"/>
      <c r="CF33" s="1709"/>
      <c r="CG33" s="1722"/>
      <c r="CH33" s="1268" t="s">
        <v>895</v>
      </c>
      <c r="CI33" s="1268"/>
      <c r="CJ33" s="1268"/>
      <c r="CK33" s="1850">
        <f xml:space="preserve"> $AM$7 * $AG$7 * AF30</f>
        <v>1000</v>
      </c>
      <c r="CL33" s="1851"/>
      <c r="CM33" s="1852"/>
      <c r="CN33" s="1709"/>
      <c r="CO33" s="1722"/>
      <c r="CP33" s="1268" t="s">
        <v>895</v>
      </c>
      <c r="CQ33" s="1268"/>
      <c r="CR33" s="1268"/>
      <c r="CS33" s="1850">
        <f xml:space="preserve"> $AM$7 * $AG$7 * AH30</f>
        <v>300</v>
      </c>
      <c r="CT33" s="1851"/>
      <c r="CU33" s="1852"/>
      <c r="CV33" s="1709"/>
      <c r="CY33" s="1558">
        <v>21</v>
      </c>
      <c r="CZ33" s="1559">
        <v>20</v>
      </c>
      <c r="DA33" s="1560" t="s">
        <v>896</v>
      </c>
      <c r="DB33" s="1561">
        <v>85</v>
      </c>
      <c r="DC33" s="1562">
        <v>70</v>
      </c>
      <c r="DD33" s="1563">
        <v>30</v>
      </c>
      <c r="DE33" s="1654">
        <v>35</v>
      </c>
      <c r="DF33" s="1655">
        <v>35</v>
      </c>
      <c r="DG33" s="1566">
        <f t="shared" si="0"/>
        <v>85</v>
      </c>
      <c r="DH33" s="1653">
        <v>5</v>
      </c>
      <c r="DI33" s="1656">
        <v>5</v>
      </c>
      <c r="DJ33" s="1564">
        <v>0</v>
      </c>
      <c r="DK33" s="1564">
        <v>0</v>
      </c>
      <c r="DL33" s="1564">
        <v>0</v>
      </c>
      <c r="DM33" s="1564">
        <v>0</v>
      </c>
      <c r="DN33" s="1564">
        <v>100</v>
      </c>
      <c r="DO33" s="1565">
        <v>75</v>
      </c>
      <c r="DP33" s="1561">
        <v>100</v>
      </c>
      <c r="DQ33" s="1567">
        <v>70</v>
      </c>
    </row>
    <row r="34" spans="1:121" ht="21" customHeight="1" thickBot="1">
      <c r="A34" s="1269"/>
      <c r="B34" s="1270"/>
      <c r="C34" s="1730"/>
      <c r="D34" s="1771"/>
      <c r="E34" s="1772"/>
      <c r="F34" s="1772"/>
      <c r="G34" s="1772"/>
      <c r="H34" s="1773"/>
      <c r="I34" s="1774"/>
      <c r="J34" s="1737"/>
      <c r="K34" s="1270"/>
      <c r="M34" s="1764"/>
      <c r="N34" s="1765"/>
      <c r="O34" s="1738"/>
      <c r="P34" s="1739"/>
      <c r="Q34" s="1775"/>
      <c r="R34" s="1776"/>
      <c r="S34" s="1853"/>
      <c r="T34" s="1854"/>
      <c r="U34" s="1269"/>
      <c r="V34" s="1446" t="s">
        <v>897</v>
      </c>
      <c r="W34" s="1480" t="s">
        <v>898</v>
      </c>
      <c r="X34" s="1268"/>
      <c r="Y34" s="1268"/>
      <c r="Z34" s="1846">
        <v>1</v>
      </c>
      <c r="AA34" s="1846"/>
      <c r="AB34" s="1833">
        <f xml:space="preserve"> $Z34 * AB$30 * X23</f>
        <v>40250</v>
      </c>
      <c r="AC34" s="1833"/>
      <c r="AD34" s="1833">
        <f xml:space="preserve"> $Z34 * AD$30 * Z23</f>
        <v>42000</v>
      </c>
      <c r="AE34" s="1833"/>
      <c r="AF34" s="1833">
        <f xml:space="preserve"> $Z34 * AF$30 * AB23</f>
        <v>19600</v>
      </c>
      <c r="AG34" s="1833"/>
      <c r="AH34" s="1833">
        <f xml:space="preserve"> $Z34 * AH$30 * AD23</f>
        <v>11550</v>
      </c>
      <c r="AI34" s="1834"/>
      <c r="AJ34" s="1270" t="s">
        <v>899</v>
      </c>
      <c r="AQ34" s="1708" t="s">
        <v>900</v>
      </c>
      <c r="AR34" s="1268"/>
      <c r="AS34" s="1268"/>
      <c r="AT34" s="1847">
        <f>AT28+AT31</f>
        <v>74250</v>
      </c>
      <c r="AU34" s="1848"/>
      <c r="AV34" s="1849"/>
      <c r="AW34" s="1708" t="s">
        <v>900</v>
      </c>
      <c r="AX34" s="1268"/>
      <c r="AY34" s="1268"/>
      <c r="AZ34" s="1847">
        <f>AZ28+AZ31</f>
        <v>90000</v>
      </c>
      <c r="BA34" s="1848"/>
      <c r="BB34" s="1849"/>
      <c r="BC34" s="1708" t="s">
        <v>900</v>
      </c>
      <c r="BD34" s="1268"/>
      <c r="BE34" s="1268"/>
      <c r="BF34" s="1847">
        <f>BF28+BF31</f>
        <v>35600</v>
      </c>
      <c r="BG34" s="1848"/>
      <c r="BH34" s="1849"/>
      <c r="BI34" s="1708" t="s">
        <v>900</v>
      </c>
      <c r="BJ34" s="1268"/>
      <c r="BK34" s="1268"/>
      <c r="BL34" s="1847">
        <f>BL28+BL31</f>
        <v>18750</v>
      </c>
      <c r="BM34" s="1848"/>
      <c r="BN34" s="1849"/>
      <c r="BO34" s="1721"/>
      <c r="BP34" s="1268"/>
      <c r="BQ34" s="1722"/>
      <c r="BR34" s="1268" t="s">
        <v>901</v>
      </c>
      <c r="BS34" s="1268"/>
      <c r="BT34" s="1268"/>
      <c r="BU34" s="1268"/>
      <c r="BV34" s="1840"/>
      <c r="BW34" s="1841"/>
      <c r="BX34" s="1709"/>
      <c r="BY34" s="1722"/>
      <c r="BZ34" s="1268" t="s">
        <v>901</v>
      </c>
      <c r="CA34" s="1268"/>
      <c r="CB34" s="1268"/>
      <c r="CC34" s="1268"/>
      <c r="CD34" s="1840"/>
      <c r="CE34" s="1841"/>
      <c r="CF34" s="1709"/>
      <c r="CG34" s="1722"/>
      <c r="CH34" s="1268" t="s">
        <v>901</v>
      </c>
      <c r="CI34" s="1268"/>
      <c r="CJ34" s="1268"/>
      <c r="CK34" s="1268"/>
      <c r="CL34" s="1840"/>
      <c r="CM34" s="1841"/>
      <c r="CN34" s="1709"/>
      <c r="CO34" s="1722"/>
      <c r="CP34" s="1268" t="s">
        <v>901</v>
      </c>
      <c r="CQ34" s="1268"/>
      <c r="CR34" s="1268"/>
      <c r="CS34" s="1268"/>
      <c r="CT34" s="1840"/>
      <c r="CU34" s="1841"/>
      <c r="CV34" s="1709"/>
      <c r="CY34" s="1578">
        <v>22</v>
      </c>
      <c r="CZ34" s="1579">
        <v>21</v>
      </c>
      <c r="DA34" s="1580" t="s">
        <v>902</v>
      </c>
      <c r="DB34" s="1672">
        <v>95</v>
      </c>
      <c r="DC34" s="1582">
        <v>70</v>
      </c>
      <c r="DD34" s="1583">
        <v>30</v>
      </c>
      <c r="DE34" s="1673">
        <v>30</v>
      </c>
      <c r="DF34" s="1674">
        <v>45</v>
      </c>
      <c r="DG34" s="1675">
        <f t="shared" si="0"/>
        <v>95</v>
      </c>
      <c r="DH34" s="1583">
        <v>5</v>
      </c>
      <c r="DI34" s="1581">
        <v>5</v>
      </c>
      <c r="DJ34" s="1581">
        <v>0</v>
      </c>
      <c r="DK34" s="1581">
        <v>0</v>
      </c>
      <c r="DL34" s="1581">
        <v>0</v>
      </c>
      <c r="DM34" s="1581">
        <v>0</v>
      </c>
      <c r="DN34" s="1584">
        <v>100</v>
      </c>
      <c r="DO34" s="1585">
        <v>75</v>
      </c>
      <c r="DP34" s="1581">
        <v>100</v>
      </c>
      <c r="DQ34" s="1587">
        <v>70</v>
      </c>
    </row>
    <row r="35" spans="1:121" ht="21" customHeight="1" thickTop="1">
      <c r="A35" s="1269"/>
      <c r="B35" s="1726"/>
      <c r="C35" s="1724"/>
      <c r="D35" s="1777"/>
      <c r="E35" s="1778" t="s">
        <v>903</v>
      </c>
      <c r="F35" s="1777"/>
      <c r="G35" s="1777"/>
      <c r="H35" s="1777"/>
      <c r="I35" s="1777"/>
      <c r="J35" s="1724"/>
      <c r="K35" s="1726"/>
      <c r="M35" s="1842" t="s">
        <v>904</v>
      </c>
      <c r="N35" s="1842"/>
      <c r="O35" s="1843" t="s">
        <v>905</v>
      </c>
      <c r="P35" s="1843"/>
      <c r="Q35" s="1844" t="s">
        <v>906</v>
      </c>
      <c r="R35" s="1844"/>
      <c r="S35" s="1845" t="s">
        <v>907</v>
      </c>
      <c r="T35" s="1845"/>
      <c r="U35" s="1269"/>
      <c r="V35" s="1446" t="s">
        <v>908</v>
      </c>
      <c r="W35" s="1480" t="s">
        <v>909</v>
      </c>
      <c r="X35" s="1320"/>
      <c r="Y35" s="1320"/>
      <c r="Z35" s="1846">
        <v>1</v>
      </c>
      <c r="AA35" s="1846"/>
      <c r="AB35" s="1833">
        <f xml:space="preserve"> $Z35 * AB$30 * X24</f>
        <v>99323.529411764714</v>
      </c>
      <c r="AC35" s="1833"/>
      <c r="AD35" s="1833">
        <f xml:space="preserve"> $Z35 * AD$30 * Z24</f>
        <v>118235.29411764706</v>
      </c>
      <c r="AE35" s="1833"/>
      <c r="AF35" s="1833">
        <f xml:space="preserve"> $Z35 * AF$30 * AB24</f>
        <v>48070.588235294119</v>
      </c>
      <c r="AG35" s="1833"/>
      <c r="AH35" s="1833">
        <f xml:space="preserve"> $Z35 * AH$30 * AD24</f>
        <v>25808.823529411762</v>
      </c>
      <c r="AI35" s="1834"/>
      <c r="AJ35" s="1270" t="s">
        <v>910</v>
      </c>
      <c r="AQ35" s="1447" t="s">
        <v>911</v>
      </c>
      <c r="AR35" s="1403"/>
      <c r="AS35" s="1403"/>
      <c r="AT35" s="1403"/>
      <c r="AU35" s="1403"/>
      <c r="AV35" s="1403"/>
      <c r="AW35" s="1403"/>
      <c r="AX35" s="1403"/>
      <c r="AY35" s="1403"/>
      <c r="AZ35" s="1403"/>
      <c r="BA35" s="1403"/>
      <c r="BB35" s="1835">
        <f>AT33+AZ33+BF33+BL33</f>
        <v>437157.35294117656</v>
      </c>
      <c r="BC35" s="1836"/>
      <c r="BD35" s="1836"/>
      <c r="BE35" s="1836"/>
      <c r="BF35" s="1403"/>
      <c r="BG35" s="1403"/>
      <c r="BH35" s="1403"/>
      <c r="BI35" s="1403"/>
      <c r="BJ35" s="1403"/>
      <c r="BK35" s="1403"/>
      <c r="BL35" s="1403"/>
      <c r="BM35" s="1403"/>
      <c r="BN35" s="1403"/>
      <c r="BO35" s="1779"/>
      <c r="BQ35" s="1722"/>
      <c r="BR35" s="1268" t="s">
        <v>912</v>
      </c>
      <c r="BS35" s="1268"/>
      <c r="BT35" s="1837">
        <f>AB36</f>
        <v>148985.29411764708</v>
      </c>
      <c r="BU35" s="1838"/>
      <c r="BV35" s="1838"/>
      <c r="BW35" s="1839"/>
      <c r="BX35" s="1709"/>
      <c r="BY35" s="1722"/>
      <c r="BZ35" s="1268" t="s">
        <v>912</v>
      </c>
      <c r="CA35" s="1268"/>
      <c r="CB35" s="1837">
        <f>AD36</f>
        <v>177352.9411764706</v>
      </c>
      <c r="CC35" s="1838"/>
      <c r="CD35" s="1838"/>
      <c r="CE35" s="1839"/>
      <c r="CF35" s="1709"/>
      <c r="CG35" s="1722"/>
      <c r="CH35" s="1268" t="s">
        <v>912</v>
      </c>
      <c r="CI35" s="1268"/>
      <c r="CJ35" s="1837">
        <f>AF36</f>
        <v>72105.882352941175</v>
      </c>
      <c r="CK35" s="1838"/>
      <c r="CL35" s="1838"/>
      <c r="CM35" s="1839"/>
      <c r="CN35" s="1709"/>
      <c r="CO35" s="1722"/>
      <c r="CP35" s="1268" t="s">
        <v>912</v>
      </c>
      <c r="CQ35" s="1268"/>
      <c r="CR35" s="1837">
        <f>AH36</f>
        <v>38713.235294117643</v>
      </c>
      <c r="CS35" s="1838"/>
      <c r="CT35" s="1838"/>
      <c r="CU35" s="1839"/>
      <c r="CV35" s="1709"/>
      <c r="CY35" s="1532">
        <v>23</v>
      </c>
      <c r="CZ35" s="1533">
        <v>22</v>
      </c>
      <c r="DA35" s="1534" t="s">
        <v>913</v>
      </c>
      <c r="DB35" s="1535">
        <v>95</v>
      </c>
      <c r="DC35" s="1533">
        <v>60</v>
      </c>
      <c r="DD35" s="1537">
        <v>30</v>
      </c>
      <c r="DE35" s="1640">
        <v>10</v>
      </c>
      <c r="DF35" s="1641">
        <v>30</v>
      </c>
      <c r="DG35" s="1540">
        <f t="shared" si="0"/>
        <v>95</v>
      </c>
      <c r="DH35" s="1537">
        <v>5</v>
      </c>
      <c r="DI35" s="1535">
        <v>5</v>
      </c>
      <c r="DJ35" s="1535">
        <v>0</v>
      </c>
      <c r="DK35" s="1535">
        <v>0</v>
      </c>
      <c r="DL35" s="1535">
        <v>0</v>
      </c>
      <c r="DM35" s="1535">
        <v>0</v>
      </c>
      <c r="DN35" s="1538">
        <v>100</v>
      </c>
      <c r="DO35" s="1539">
        <v>75</v>
      </c>
      <c r="DP35" s="1535">
        <v>100</v>
      </c>
      <c r="DQ35" s="1541">
        <v>70</v>
      </c>
    </row>
    <row r="36" spans="1:121" ht="21" customHeight="1" thickBot="1">
      <c r="A36" s="1269"/>
      <c r="B36" s="1270"/>
      <c r="C36" s="1780"/>
      <c r="D36" s="1270"/>
      <c r="E36" s="1270"/>
      <c r="F36" s="1270"/>
      <c r="G36" s="1270"/>
      <c r="H36" s="1270"/>
      <c r="I36" s="1270"/>
      <c r="J36" s="1780"/>
      <c r="K36" s="1270"/>
      <c r="M36" s="1781" t="s">
        <v>914</v>
      </c>
      <c r="N36" s="1782"/>
      <c r="O36" s="1783"/>
      <c r="P36" s="1783"/>
      <c r="Q36" s="1783"/>
      <c r="R36" s="1783"/>
      <c r="S36" s="1782"/>
      <c r="T36" s="1784"/>
      <c r="U36" s="1269"/>
      <c r="V36" s="1446" t="s">
        <v>915</v>
      </c>
      <c r="W36" s="1704" t="s">
        <v>916</v>
      </c>
      <c r="X36" s="1338"/>
      <c r="Y36" s="1338"/>
      <c r="Z36" s="1828">
        <v>1</v>
      </c>
      <c r="AA36" s="1828"/>
      <c r="AB36" s="1829">
        <f xml:space="preserve"> $Z36 * AB$30 * X25</f>
        <v>148985.29411764708</v>
      </c>
      <c r="AC36" s="1829"/>
      <c r="AD36" s="1829">
        <f xml:space="preserve"> $Z36 * AD$30 * Z25</f>
        <v>177352.9411764706</v>
      </c>
      <c r="AE36" s="1829"/>
      <c r="AF36" s="1829">
        <f xml:space="preserve"> $Z36 * AF$30 * AB25</f>
        <v>72105.882352941175</v>
      </c>
      <c r="AG36" s="1829"/>
      <c r="AH36" s="1829">
        <f xml:space="preserve"> $Z36 * AH$30 * AD25</f>
        <v>38713.235294117643</v>
      </c>
      <c r="AI36" s="1830"/>
      <c r="AJ36" s="1270" t="s">
        <v>917</v>
      </c>
      <c r="AQ36" s="1704" t="s">
        <v>918</v>
      </c>
      <c r="AR36" s="1335"/>
      <c r="AS36" s="1335"/>
      <c r="AT36" s="1335"/>
      <c r="AU36" s="1335"/>
      <c r="AV36" s="1335"/>
      <c r="AW36" s="1335"/>
      <c r="AX36" s="1335"/>
      <c r="AY36" s="1335"/>
      <c r="AZ36" s="1335"/>
      <c r="BA36" s="1335"/>
      <c r="BB36" s="1831">
        <f>SUM(AT34:BN34)+SUM(BU27:BW33)+SUM(CC27:CE33)+SUM(CK27:CM33)+SUM(CS27:CU33)</f>
        <v>346400</v>
      </c>
      <c r="BC36" s="1832"/>
      <c r="BD36" s="1832"/>
      <c r="BE36" s="1832"/>
      <c r="BF36" s="1338" t="s">
        <v>919</v>
      </c>
      <c r="BG36" s="1335"/>
      <c r="BH36" s="1335"/>
      <c r="BI36" s="1335"/>
      <c r="BJ36" s="1335"/>
      <c r="BK36" s="1335"/>
      <c r="BL36" s="1335"/>
      <c r="BM36" s="1825">
        <f>BB35/BB36</f>
        <v>1.2620015962505098</v>
      </c>
      <c r="BN36" s="1825"/>
      <c r="BO36" s="1785"/>
      <c r="BQ36" s="1722"/>
      <c r="BR36" s="1268" t="s">
        <v>920</v>
      </c>
      <c r="BS36" s="1268"/>
      <c r="BT36" s="1268"/>
      <c r="BU36" s="1268"/>
      <c r="BV36" s="1826"/>
      <c r="BW36" s="1827"/>
      <c r="BX36" s="1709"/>
      <c r="BY36" s="1722"/>
      <c r="BZ36" s="1268" t="s">
        <v>920</v>
      </c>
      <c r="CA36" s="1268"/>
      <c r="CB36" s="1268"/>
      <c r="CC36" s="1268"/>
      <c r="CD36" s="1826"/>
      <c r="CE36" s="1827"/>
      <c r="CF36" s="1709"/>
      <c r="CG36" s="1722"/>
      <c r="CH36" s="1268" t="s">
        <v>920</v>
      </c>
      <c r="CI36" s="1268"/>
      <c r="CJ36" s="1268"/>
      <c r="CK36" s="1268"/>
      <c r="CL36" s="1826"/>
      <c r="CM36" s="1827"/>
      <c r="CN36" s="1709"/>
      <c r="CO36" s="1722"/>
      <c r="CP36" s="1268" t="s">
        <v>920</v>
      </c>
      <c r="CQ36" s="1268"/>
      <c r="CR36" s="1268"/>
      <c r="CS36" s="1268"/>
      <c r="CT36" s="1826"/>
      <c r="CU36" s="1827"/>
      <c r="CV36" s="1709"/>
      <c r="CY36" s="1786">
        <v>24</v>
      </c>
      <c r="CZ36" s="1787">
        <v>23</v>
      </c>
      <c r="DA36" s="1788" t="s">
        <v>921</v>
      </c>
      <c r="DB36" s="1789">
        <v>95</v>
      </c>
      <c r="DC36" s="1787">
        <v>5</v>
      </c>
      <c r="DD36" s="1790">
        <v>30</v>
      </c>
      <c r="DE36" s="1791">
        <v>5</v>
      </c>
      <c r="DF36" s="1792">
        <v>5</v>
      </c>
      <c r="DG36" s="1793">
        <f t="shared" si="0"/>
        <v>95</v>
      </c>
      <c r="DH36" s="1790">
        <v>5</v>
      </c>
      <c r="DI36" s="1789">
        <v>5</v>
      </c>
      <c r="DJ36" s="1789">
        <v>0</v>
      </c>
      <c r="DK36" s="1789">
        <v>0</v>
      </c>
      <c r="DL36" s="1789">
        <v>0</v>
      </c>
      <c r="DM36" s="1789">
        <v>0</v>
      </c>
      <c r="DN36" s="1794">
        <v>100</v>
      </c>
      <c r="DO36" s="1795">
        <v>75</v>
      </c>
      <c r="DP36" s="1789">
        <v>100</v>
      </c>
      <c r="DQ36" s="1796">
        <v>70</v>
      </c>
    </row>
  </sheetData>
  <mergeCells count="289">
    <mergeCell ref="CY4:CY8"/>
    <mergeCell ref="CZ4:CZ8"/>
    <mergeCell ref="DA4:DA8"/>
    <mergeCell ref="DB4:DB8"/>
    <mergeCell ref="BG5:BH5"/>
    <mergeCell ref="BM5:BN5"/>
    <mergeCell ref="BV5:BW5"/>
    <mergeCell ref="CD5:CE5"/>
    <mergeCell ref="P3:Q3"/>
    <mergeCell ref="U3:V3"/>
    <mergeCell ref="AA3:AB3"/>
    <mergeCell ref="P4:Q4"/>
    <mergeCell ref="U4:V4"/>
    <mergeCell ref="AA4:AB4"/>
    <mergeCell ref="DO4:DO8"/>
    <mergeCell ref="DP4:DP8"/>
    <mergeCell ref="DQ4:DQ8"/>
    <mergeCell ref="P5:Q5"/>
    <mergeCell ref="U5:V5"/>
    <mergeCell ref="AA5:AB5"/>
    <mergeCell ref="AG5:AH5"/>
    <mergeCell ref="AM5:AN5"/>
    <mergeCell ref="AU5:AV5"/>
    <mergeCell ref="BA5:BB5"/>
    <mergeCell ref="DI4:DI8"/>
    <mergeCell ref="DJ4:DJ8"/>
    <mergeCell ref="DK4:DK8"/>
    <mergeCell ref="DL4:DL8"/>
    <mergeCell ref="DM4:DM8"/>
    <mergeCell ref="DN4:DN8"/>
    <mergeCell ref="DC4:DC8"/>
    <mergeCell ref="DD4:DD8"/>
    <mergeCell ref="DE4:DE8"/>
    <mergeCell ref="DF4:DF8"/>
    <mergeCell ref="DG4:DG8"/>
    <mergeCell ref="DH4:DH8"/>
    <mergeCell ref="AG4:AH4"/>
    <mergeCell ref="AM4:AN4"/>
    <mergeCell ref="CL5:CM5"/>
    <mergeCell ref="CT5:CU5"/>
    <mergeCell ref="P6:Q6"/>
    <mergeCell ref="U6:V6"/>
    <mergeCell ref="AA6:AB6"/>
    <mergeCell ref="AG6:AH6"/>
    <mergeCell ref="AM6:AN6"/>
    <mergeCell ref="AR6:AR9"/>
    <mergeCell ref="AT6:AT9"/>
    <mergeCell ref="AX6:AX9"/>
    <mergeCell ref="BU6:BU9"/>
    <mergeCell ref="BW6:BW9"/>
    <mergeCell ref="BZ6:BZ9"/>
    <mergeCell ref="CA6:CA9"/>
    <mergeCell ref="AZ6:AZ9"/>
    <mergeCell ref="BD6:BD9"/>
    <mergeCell ref="BF6:BF9"/>
    <mergeCell ref="BJ6:BJ9"/>
    <mergeCell ref="BL6:BL9"/>
    <mergeCell ref="BR6:BR9"/>
    <mergeCell ref="CU6:CU9"/>
    <mergeCell ref="K7:L7"/>
    <mergeCell ref="U7:V7"/>
    <mergeCell ref="AA7:AB7"/>
    <mergeCell ref="AG7:AH7"/>
    <mergeCell ref="AM7:AN7"/>
    <mergeCell ref="S9:S10"/>
    <mergeCell ref="X9:Y9"/>
    <mergeCell ref="Z9:AA9"/>
    <mergeCell ref="AB9:AC9"/>
    <mergeCell ref="CK6:CK9"/>
    <mergeCell ref="CM6:CM9"/>
    <mergeCell ref="CP6:CP9"/>
    <mergeCell ref="CQ6:CQ9"/>
    <mergeCell ref="CR6:CR9"/>
    <mergeCell ref="CS6:CS9"/>
    <mergeCell ref="CB6:CB9"/>
    <mergeCell ref="CC6:CC9"/>
    <mergeCell ref="CE6:CE9"/>
    <mergeCell ref="CH6:CH9"/>
    <mergeCell ref="CI6:CI9"/>
    <mergeCell ref="CJ6:CJ9"/>
    <mergeCell ref="BS6:BS9"/>
    <mergeCell ref="BT6:BT9"/>
    <mergeCell ref="AF9:AF13"/>
    <mergeCell ref="X10:Y10"/>
    <mergeCell ref="Z10:AA10"/>
    <mergeCell ref="AB10:AC10"/>
    <mergeCell ref="AD10:AE10"/>
    <mergeCell ref="X11:Y11"/>
    <mergeCell ref="Z11:AA11"/>
    <mergeCell ref="AB11:AC11"/>
    <mergeCell ref="AD11:AE11"/>
    <mergeCell ref="X12:Y12"/>
    <mergeCell ref="Z12:AA12"/>
    <mergeCell ref="AB12:AC12"/>
    <mergeCell ref="AD12:AE12"/>
    <mergeCell ref="X13:Y13"/>
    <mergeCell ref="Z13:AA13"/>
    <mergeCell ref="AB13:AC13"/>
    <mergeCell ref="AD13:AE13"/>
    <mergeCell ref="AD9:AE9"/>
    <mergeCell ref="X14:Y14"/>
    <mergeCell ref="Z14:AA14"/>
    <mergeCell ref="AB14:AC14"/>
    <mergeCell ref="AD14:AE14"/>
    <mergeCell ref="G15:H15"/>
    <mergeCell ref="J15:L15"/>
    <mergeCell ref="X15:Y15"/>
    <mergeCell ref="Z15:AA15"/>
    <mergeCell ref="AB15:AC15"/>
    <mergeCell ref="AD15:AE15"/>
    <mergeCell ref="G17:H17"/>
    <mergeCell ref="J17:L17"/>
    <mergeCell ref="X17:Y17"/>
    <mergeCell ref="Z17:AA17"/>
    <mergeCell ref="AB17:AC17"/>
    <mergeCell ref="AD17:AE17"/>
    <mergeCell ref="F16:F19"/>
    <mergeCell ref="G16:H16"/>
    <mergeCell ref="J16:L16"/>
    <mergeCell ref="M16:M19"/>
    <mergeCell ref="X16:Y16"/>
    <mergeCell ref="Z16:AA16"/>
    <mergeCell ref="X18:Y18"/>
    <mergeCell ref="Z18:AA18"/>
    <mergeCell ref="AB18:AC18"/>
    <mergeCell ref="AD18:AE18"/>
    <mergeCell ref="K19:L20"/>
    <mergeCell ref="X19:Y19"/>
    <mergeCell ref="Z19:AA19"/>
    <mergeCell ref="AB19:AC19"/>
    <mergeCell ref="AD19:AE19"/>
    <mergeCell ref="AB16:AC16"/>
    <mergeCell ref="AD16:AE16"/>
    <mergeCell ref="G20:H20"/>
    <mergeCell ref="X20:Y20"/>
    <mergeCell ref="Z20:AA20"/>
    <mergeCell ref="AB20:AC20"/>
    <mergeCell ref="AD20:AE20"/>
    <mergeCell ref="X21:Y21"/>
    <mergeCell ref="Z21:AA21"/>
    <mergeCell ref="AB21:AC21"/>
    <mergeCell ref="AD21:AE21"/>
    <mergeCell ref="X24:Y24"/>
    <mergeCell ref="Z24:AA24"/>
    <mergeCell ref="AB24:AC24"/>
    <mergeCell ref="AD24:AE24"/>
    <mergeCell ref="X25:Y25"/>
    <mergeCell ref="Z25:AA25"/>
    <mergeCell ref="AB25:AC25"/>
    <mergeCell ref="AD25:AE25"/>
    <mergeCell ref="X22:Y22"/>
    <mergeCell ref="Z22:AA22"/>
    <mergeCell ref="AB22:AC22"/>
    <mergeCell ref="AD22:AE22"/>
    <mergeCell ref="X23:Y23"/>
    <mergeCell ref="Z23:AA23"/>
    <mergeCell ref="AB23:AC23"/>
    <mergeCell ref="AD23:AE23"/>
    <mergeCell ref="BG27:BH27"/>
    <mergeCell ref="BM27:BN27"/>
    <mergeCell ref="BU27:BW27"/>
    <mergeCell ref="CC27:CE27"/>
    <mergeCell ref="CK27:CM27"/>
    <mergeCell ref="CS27:CU27"/>
    <mergeCell ref="X26:Y26"/>
    <mergeCell ref="Z26:AA26"/>
    <mergeCell ref="AB26:AC26"/>
    <mergeCell ref="AD26:AE26"/>
    <mergeCell ref="AU27:AV27"/>
    <mergeCell ref="BA27:BB27"/>
    <mergeCell ref="CT28:CU28"/>
    <mergeCell ref="Z29:AA29"/>
    <mergeCell ref="AB29:AC29"/>
    <mergeCell ref="AD29:AE29"/>
    <mergeCell ref="AF29:AG29"/>
    <mergeCell ref="AH29:AI29"/>
    <mergeCell ref="AU29:AV29"/>
    <mergeCell ref="BA29:BB29"/>
    <mergeCell ref="BG29:BH29"/>
    <mergeCell ref="BM29:BN29"/>
    <mergeCell ref="AZ28:BB28"/>
    <mergeCell ref="BF28:BH28"/>
    <mergeCell ref="BL28:BN28"/>
    <mergeCell ref="BV28:BW28"/>
    <mergeCell ref="CD28:CE28"/>
    <mergeCell ref="CL28:CM28"/>
    <mergeCell ref="AB28:AC28"/>
    <mergeCell ref="AD28:AE28"/>
    <mergeCell ref="AF28:AG28"/>
    <mergeCell ref="AH28:AI28"/>
    <mergeCell ref="AT28:AV28"/>
    <mergeCell ref="BU29:BW29"/>
    <mergeCell ref="CC29:CE29"/>
    <mergeCell ref="CK29:CM29"/>
    <mergeCell ref="CS29:CU29"/>
    <mergeCell ref="C30:C33"/>
    <mergeCell ref="J30:J33"/>
    <mergeCell ref="Z30:AA30"/>
    <mergeCell ref="AB30:AC30"/>
    <mergeCell ref="AD30:AE30"/>
    <mergeCell ref="AF30:AG30"/>
    <mergeCell ref="V28:V29"/>
    <mergeCell ref="Z31:AA31"/>
    <mergeCell ref="AB31:AC31"/>
    <mergeCell ref="AD31:AE31"/>
    <mergeCell ref="AF31:AG31"/>
    <mergeCell ref="AH31:AI31"/>
    <mergeCell ref="AT31:AV31"/>
    <mergeCell ref="AZ31:BB31"/>
    <mergeCell ref="AH30:AI30"/>
    <mergeCell ref="AU30:AV30"/>
    <mergeCell ref="BA30:BB30"/>
    <mergeCell ref="BF31:BH31"/>
    <mergeCell ref="BL31:BN31"/>
    <mergeCell ref="BU31:BW31"/>
    <mergeCell ref="CC31:CE31"/>
    <mergeCell ref="CK31:CM31"/>
    <mergeCell ref="CS31:CU31"/>
    <mergeCell ref="CD30:CE30"/>
    <mergeCell ref="CL30:CM30"/>
    <mergeCell ref="CT30:CU30"/>
    <mergeCell ref="BG30:BH30"/>
    <mergeCell ref="BM30:BN30"/>
    <mergeCell ref="BV30:BW30"/>
    <mergeCell ref="CT32:CU32"/>
    <mergeCell ref="Z33:AA33"/>
    <mergeCell ref="AB33:AC33"/>
    <mergeCell ref="AD33:AE33"/>
    <mergeCell ref="AF33:AG33"/>
    <mergeCell ref="AH33:AI33"/>
    <mergeCell ref="AT33:AV33"/>
    <mergeCell ref="AZ33:BB33"/>
    <mergeCell ref="BF33:BH33"/>
    <mergeCell ref="BL33:BN33"/>
    <mergeCell ref="BA32:BB32"/>
    <mergeCell ref="BG32:BH32"/>
    <mergeCell ref="BM32:BN32"/>
    <mergeCell ref="BV32:BW32"/>
    <mergeCell ref="CD32:CE32"/>
    <mergeCell ref="CL32:CM32"/>
    <mergeCell ref="Z32:AA32"/>
    <mergeCell ref="AB32:AC32"/>
    <mergeCell ref="AD32:AE32"/>
    <mergeCell ref="AF32:AG32"/>
    <mergeCell ref="AH32:AI32"/>
    <mergeCell ref="AU32:AV32"/>
    <mergeCell ref="BU33:BW33"/>
    <mergeCell ref="CC33:CE33"/>
    <mergeCell ref="CK33:CM33"/>
    <mergeCell ref="CS33:CU33"/>
    <mergeCell ref="S34:T34"/>
    <mergeCell ref="Z34:AA34"/>
    <mergeCell ref="AB34:AC34"/>
    <mergeCell ref="AD34:AE34"/>
    <mergeCell ref="AF34:AG34"/>
    <mergeCell ref="AH34:AI34"/>
    <mergeCell ref="AH35:AI35"/>
    <mergeCell ref="BB35:BE35"/>
    <mergeCell ref="BT35:BW35"/>
    <mergeCell ref="CB35:CE35"/>
    <mergeCell ref="CJ35:CM35"/>
    <mergeCell ref="CR35:CU35"/>
    <mergeCell ref="CL34:CM34"/>
    <mergeCell ref="CT34:CU34"/>
    <mergeCell ref="M35:N35"/>
    <mergeCell ref="O35:P35"/>
    <mergeCell ref="Q35:R35"/>
    <mergeCell ref="S35:T35"/>
    <mergeCell ref="Z35:AA35"/>
    <mergeCell ref="AB35:AC35"/>
    <mergeCell ref="AD35:AE35"/>
    <mergeCell ref="AF35:AG35"/>
    <mergeCell ref="AT34:AV34"/>
    <mergeCell ref="AZ34:BB34"/>
    <mergeCell ref="BF34:BH34"/>
    <mergeCell ref="BL34:BN34"/>
    <mergeCell ref="BV34:BW34"/>
    <mergeCell ref="CD34:CE34"/>
    <mergeCell ref="BM36:BN36"/>
    <mergeCell ref="BV36:BW36"/>
    <mergeCell ref="CD36:CE36"/>
    <mergeCell ref="CL36:CM36"/>
    <mergeCell ref="CT36:CU36"/>
    <mergeCell ref="Z36:AA36"/>
    <mergeCell ref="AB36:AC36"/>
    <mergeCell ref="AD36:AE36"/>
    <mergeCell ref="AF36:AG36"/>
    <mergeCell ref="AH36:AI36"/>
    <mergeCell ref="BB36:BE36"/>
  </mergeCells>
  <pageMargins left="0.5" right="0.4" top="0.5" bottom="0.5" header="0.3" footer="0.3"/>
  <pageSetup scale="70" orientation="landscape" r:id="rId1"/>
  <headerFooter>
    <oddHeader>&amp;L&amp;14&amp;F&amp;R&amp;14&amp;A</oddHeader>
    <oddFooter>&amp;L&amp;14Varkie C. Thomas, Ph.D., P.E.&amp;C&amp;14College of Architecture&amp;R&amp;14Illinois Institute of Technology, Chicago</oddFooter>
  </headerFooter>
  <colBreaks count="1" manualBreakCount="1">
    <brk id="4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E48"/>
  <sheetViews>
    <sheetView zoomScale="60" zoomScaleNormal="60" workbookViewId="0">
      <selection activeCell="BM20" sqref="BM20"/>
    </sheetView>
  </sheetViews>
  <sheetFormatPr defaultColWidth="3.8984375" defaultRowHeight="21" customHeight="1"/>
  <cols>
    <col min="1" max="1" width="3.09765625" style="1067" customWidth="1"/>
    <col min="2" max="28" width="3.8984375" style="1065" customWidth="1"/>
    <col min="29" max="30" width="1.59765625" customWidth="1"/>
  </cols>
  <sheetData>
    <row r="1" spans="1:57" ht="24.9" customHeight="1">
      <c r="A1" s="1064" t="s">
        <v>352</v>
      </c>
      <c r="S1" s="1064" t="s">
        <v>353</v>
      </c>
      <c r="AA1" s="1066"/>
      <c r="AB1" s="1066"/>
      <c r="AE1" s="1064" t="s">
        <v>352</v>
      </c>
      <c r="AF1" s="1065"/>
      <c r="AG1" s="1065"/>
      <c r="AH1" s="1065"/>
      <c r="AI1" s="1065"/>
      <c r="AJ1" s="1065"/>
      <c r="AK1" s="1065"/>
      <c r="AL1" s="1065"/>
      <c r="AM1" s="1065"/>
      <c r="AN1" s="1065"/>
      <c r="AO1" s="1065"/>
      <c r="AP1" s="1065"/>
      <c r="AQ1" s="1065"/>
      <c r="AR1" s="1065"/>
      <c r="AS1" s="1065"/>
      <c r="AT1" s="1065"/>
      <c r="AX1" s="1064" t="s">
        <v>353</v>
      </c>
    </row>
    <row r="2" spans="1:57" ht="21" customHeight="1">
      <c r="B2" s="1068" t="s">
        <v>354</v>
      </c>
    </row>
    <row r="3" spans="1:57" ht="21" customHeight="1">
      <c r="B3" s="1069" t="s">
        <v>355</v>
      </c>
      <c r="C3" s="1070"/>
      <c r="D3" s="1070"/>
    </row>
    <row r="4" spans="1:57" ht="21" customHeight="1">
      <c r="B4" s="1069" t="s">
        <v>356</v>
      </c>
      <c r="C4" s="1070"/>
      <c r="D4" s="1070"/>
    </row>
    <row r="5" spans="1:57" ht="21" customHeight="1">
      <c r="B5" s="1069" t="s">
        <v>357</v>
      </c>
      <c r="C5" s="1070"/>
      <c r="D5" s="1070"/>
    </row>
    <row r="6" spans="1:57" ht="21" customHeight="1">
      <c r="A6" s="1065"/>
      <c r="B6" s="1069" t="s">
        <v>358</v>
      </c>
      <c r="C6" s="1070"/>
      <c r="D6" s="1070"/>
    </row>
    <row r="7" spans="1:57" ht="21" customHeight="1">
      <c r="A7" s="1065"/>
      <c r="B7" s="1069" t="s">
        <v>359</v>
      </c>
      <c r="C7" s="1070"/>
      <c r="D7" s="1070"/>
    </row>
    <row r="8" spans="1:57" ht="21" customHeight="1">
      <c r="A8" s="1071"/>
      <c r="B8" s="1072" t="s">
        <v>360</v>
      </c>
      <c r="C8" s="1073"/>
      <c r="D8" s="1073"/>
      <c r="E8" s="1073"/>
      <c r="F8" s="1073"/>
      <c r="G8" s="1073"/>
      <c r="H8" s="1074" t="s">
        <v>361</v>
      </c>
      <c r="J8" s="1073"/>
      <c r="K8" s="1073"/>
      <c r="L8" s="2042">
        <v>10</v>
      </c>
      <c r="M8" s="2043"/>
      <c r="N8" s="1074" t="s">
        <v>362</v>
      </c>
      <c r="O8" s="1066"/>
      <c r="Q8" s="2042">
        <v>13.5</v>
      </c>
      <c r="R8" s="2043"/>
      <c r="S8" s="1074" t="s">
        <v>363</v>
      </c>
      <c r="T8" s="1073"/>
      <c r="U8" s="1073"/>
      <c r="V8" s="2042">
        <v>15</v>
      </c>
      <c r="W8" s="2043"/>
      <c r="X8" s="1071" t="s">
        <v>364</v>
      </c>
      <c r="AA8" s="2042">
        <v>18</v>
      </c>
      <c r="AB8" s="2043"/>
    </row>
    <row r="9" spans="1:57" ht="21" customHeight="1" thickBot="1">
      <c r="A9" s="1075"/>
      <c r="B9" s="1076"/>
      <c r="C9" s="1077"/>
      <c r="D9" s="1077"/>
      <c r="E9" s="1077"/>
      <c r="F9" s="1077"/>
      <c r="G9" s="1077"/>
      <c r="H9" s="1077"/>
      <c r="I9" s="1077"/>
      <c r="J9" s="1077"/>
      <c r="K9" s="1077"/>
      <c r="L9" s="1077"/>
      <c r="M9" s="1077"/>
      <c r="N9" s="1077"/>
      <c r="O9" s="1077"/>
      <c r="P9" s="1077"/>
      <c r="Q9" s="1077"/>
      <c r="R9" s="1077"/>
      <c r="S9" s="1077"/>
      <c r="T9" s="1077"/>
      <c r="U9" s="1077"/>
      <c r="V9" s="1077"/>
      <c r="W9" s="1077"/>
      <c r="X9" s="1077"/>
      <c r="Y9" s="1077"/>
      <c r="Z9" s="1077"/>
      <c r="AA9" s="1077"/>
      <c r="AB9" s="1077"/>
    </row>
    <row r="10" spans="1:57" ht="21" customHeight="1" thickTop="1">
      <c r="A10" s="1078" t="s">
        <v>365</v>
      </c>
      <c r="B10" s="1079"/>
      <c r="C10" s="1080"/>
      <c r="D10" s="1078" t="s">
        <v>366</v>
      </c>
      <c r="E10" s="1080"/>
      <c r="F10" s="1080"/>
      <c r="G10" s="1080"/>
      <c r="H10" s="1080"/>
      <c r="I10" s="1080"/>
      <c r="J10" s="1080"/>
      <c r="K10" s="1080"/>
      <c r="L10" s="1078" t="s">
        <v>367</v>
      </c>
      <c r="M10" s="1080"/>
      <c r="N10" s="1080"/>
      <c r="O10" s="1078" t="s">
        <v>368</v>
      </c>
      <c r="P10" s="1080"/>
      <c r="V10" s="1066"/>
      <c r="W10" s="1081"/>
      <c r="X10" s="1082" t="s">
        <v>369</v>
      </c>
      <c r="Y10" s="1083"/>
      <c r="Z10" s="1084"/>
      <c r="AA10" s="1084"/>
      <c r="AB10" s="1085"/>
    </row>
    <row r="11" spans="1:57" ht="21" customHeight="1">
      <c r="A11" s="1065"/>
      <c r="B11" s="1086" t="s">
        <v>370</v>
      </c>
      <c r="C11" s="1087"/>
      <c r="D11" s="1079"/>
      <c r="E11" s="1080"/>
      <c r="F11" s="1080"/>
      <c r="G11" s="1080"/>
      <c r="H11" s="1080"/>
      <c r="I11" s="1080"/>
      <c r="J11" s="1080"/>
      <c r="K11" s="1080"/>
      <c r="L11" s="1080"/>
      <c r="M11" s="1078" t="s">
        <v>371</v>
      </c>
      <c r="N11" s="1079"/>
      <c r="O11" s="1080"/>
      <c r="P11" s="1080"/>
      <c r="Q11" s="1079"/>
      <c r="R11" s="1080"/>
      <c r="S11" s="1080"/>
      <c r="T11" s="1080"/>
      <c r="U11" s="1080"/>
      <c r="V11" s="1073"/>
      <c r="Y11" s="2044">
        <v>101.325</v>
      </c>
      <c r="Z11" s="2045"/>
      <c r="AA11" s="1067" t="s">
        <v>372</v>
      </c>
      <c r="BE11" s="1088"/>
    </row>
    <row r="12" spans="1:57" ht="21" customHeight="1">
      <c r="B12" s="1089" t="s">
        <v>373</v>
      </c>
      <c r="C12" s="1087"/>
      <c r="D12" s="1087"/>
      <c r="E12" s="1080"/>
      <c r="F12" s="1080"/>
      <c r="G12" s="1080"/>
      <c r="H12" s="1080"/>
      <c r="I12" s="1080"/>
      <c r="J12" s="1080"/>
      <c r="K12" s="1080"/>
      <c r="L12" s="1080"/>
      <c r="M12" s="1086" t="s">
        <v>374</v>
      </c>
      <c r="N12" s="1079"/>
      <c r="O12" s="1080"/>
      <c r="P12" s="1080"/>
      <c r="Q12" s="1079"/>
      <c r="R12" s="1080"/>
      <c r="S12" s="1080"/>
      <c r="T12" s="1080"/>
      <c r="U12" s="1080"/>
      <c r="V12" s="1073"/>
      <c r="Y12" s="2040">
        <v>29.92</v>
      </c>
      <c r="Z12" s="2041"/>
      <c r="AA12" s="1067" t="s">
        <v>17</v>
      </c>
      <c r="AE12" s="1090" t="s">
        <v>375</v>
      </c>
      <c r="AF12" s="1090"/>
      <c r="AG12" s="1088"/>
      <c r="AH12" s="1088"/>
      <c r="AI12" s="1088"/>
      <c r="AJ12" s="1088"/>
      <c r="AK12" s="1088"/>
      <c r="AL12" s="1088"/>
      <c r="AM12" s="1088"/>
      <c r="AN12" s="1088"/>
      <c r="AO12" s="1088"/>
      <c r="AP12" s="1088"/>
      <c r="AQ12" s="1088"/>
      <c r="AR12" s="1088"/>
      <c r="AS12" s="1088"/>
      <c r="AT12" s="1088"/>
      <c r="AU12" s="1088"/>
      <c r="AV12" s="1088"/>
      <c r="AW12" s="1088"/>
      <c r="AX12" s="1088"/>
      <c r="AY12" s="1088"/>
      <c r="AZ12" s="1088"/>
      <c r="BA12" s="1088"/>
      <c r="BB12" s="1088"/>
      <c r="BC12" s="1088"/>
      <c r="BD12" s="1088"/>
      <c r="BE12" s="1088"/>
    </row>
    <row r="13" spans="1:57" ht="21" customHeight="1">
      <c r="B13" s="1089" t="s">
        <v>376</v>
      </c>
      <c r="C13" s="1091"/>
      <c r="D13" s="1091"/>
      <c r="E13" s="1080"/>
      <c r="F13" s="1080"/>
      <c r="G13" s="1080"/>
      <c r="H13" s="1080"/>
      <c r="I13" s="1080"/>
      <c r="J13" s="1080"/>
      <c r="K13" s="1080"/>
      <c r="L13" s="1080"/>
      <c r="M13" s="1092" t="s">
        <v>377</v>
      </c>
      <c r="N13" s="1079"/>
      <c r="O13" s="1080"/>
      <c r="P13" s="1080"/>
      <c r="Q13" s="1079"/>
      <c r="R13" s="1080"/>
      <c r="S13" s="1080"/>
      <c r="T13" s="1073"/>
      <c r="U13" s="1080"/>
      <c r="V13" s="1073"/>
      <c r="Y13" s="2030">
        <v>14.696</v>
      </c>
      <c r="Z13" s="2031"/>
      <c r="AA13" s="1067" t="s">
        <v>64</v>
      </c>
      <c r="AE13" s="1090" t="s">
        <v>378</v>
      </c>
      <c r="AF13" s="1090"/>
      <c r="AG13" s="1088"/>
      <c r="AH13" s="1088"/>
      <c r="AI13" s="1088"/>
      <c r="AJ13" s="1088"/>
      <c r="AK13" s="1088"/>
      <c r="AL13" s="1088"/>
      <c r="AM13" s="1088"/>
      <c r="AN13" s="1088"/>
      <c r="AO13" s="1088"/>
      <c r="AP13" s="1088"/>
      <c r="AQ13" s="1088"/>
      <c r="AR13" s="1088"/>
      <c r="AS13" s="1088"/>
      <c r="AT13" s="1088"/>
      <c r="AU13" s="1088"/>
      <c r="AV13" s="1088"/>
      <c r="AW13" s="1088"/>
      <c r="AX13" s="1088"/>
      <c r="AY13" s="1088"/>
      <c r="AZ13" s="1088"/>
      <c r="BA13" s="1088"/>
      <c r="BB13" s="1088"/>
      <c r="BC13" s="1088"/>
      <c r="BD13" s="1088"/>
      <c r="BE13" s="1088"/>
    </row>
    <row r="14" spans="1:57" ht="21" customHeight="1" thickBot="1">
      <c r="A14" s="1093"/>
      <c r="B14" s="1076"/>
      <c r="C14" s="1076"/>
      <c r="D14" s="1076"/>
      <c r="E14" s="1076"/>
      <c r="F14" s="1076"/>
      <c r="G14" s="1094"/>
      <c r="H14" s="1076"/>
      <c r="I14" s="1076"/>
      <c r="J14" s="1076"/>
      <c r="K14" s="1095" t="s">
        <v>379</v>
      </c>
      <c r="L14" s="1076"/>
      <c r="M14" s="1076"/>
      <c r="N14" s="1076"/>
      <c r="O14" s="1076"/>
      <c r="P14" s="1096" t="s">
        <v>380</v>
      </c>
      <c r="Q14" s="1076"/>
      <c r="R14" s="1076"/>
      <c r="S14" s="1076"/>
      <c r="T14" s="1076"/>
      <c r="U14" s="1076"/>
      <c r="V14" s="1076"/>
      <c r="W14" s="1077"/>
      <c r="X14" s="1077"/>
      <c r="Y14" s="2032">
        <f>$Y$13*27.7070465550844</f>
        <v>407.18275617352032</v>
      </c>
      <c r="Z14" s="2033"/>
      <c r="AA14" s="1093" t="s">
        <v>381</v>
      </c>
      <c r="AB14" s="1077"/>
      <c r="AE14" s="1097" t="s">
        <v>382</v>
      </c>
      <c r="AF14" s="1090"/>
      <c r="AG14" s="1088"/>
      <c r="AH14" s="1088"/>
      <c r="AI14" s="1088"/>
      <c r="AJ14" s="1088"/>
      <c r="AK14" s="1088"/>
      <c r="AL14" s="1088"/>
      <c r="AM14" s="1088"/>
      <c r="AN14" s="1088"/>
      <c r="AO14" s="1088"/>
      <c r="AP14" s="1088"/>
      <c r="AQ14" s="1088"/>
      <c r="AR14" s="1088"/>
      <c r="AS14" s="1088"/>
      <c r="AT14" s="1088"/>
      <c r="AU14" s="1088"/>
      <c r="AV14" s="1088"/>
      <c r="AW14" s="1088"/>
      <c r="AX14" s="1088"/>
      <c r="AY14" s="1088"/>
      <c r="AZ14" s="1088"/>
      <c r="BA14" s="1088"/>
      <c r="BB14" s="1088"/>
      <c r="BC14" s="1088"/>
      <c r="BD14" s="1088"/>
      <c r="BE14" s="1088"/>
    </row>
    <row r="15" spans="1:57" ht="21" customHeight="1" thickTop="1">
      <c r="A15" s="1098" t="s">
        <v>383</v>
      </c>
      <c r="I15" s="1099" t="s">
        <v>384</v>
      </c>
      <c r="K15" s="1067"/>
      <c r="Q15" s="1067"/>
      <c r="T15" s="1100" t="s">
        <v>383</v>
      </c>
      <c r="AE15" s="1097" t="s">
        <v>385</v>
      </c>
      <c r="AF15" s="1090"/>
      <c r="AG15" s="1088"/>
      <c r="AH15" s="1088"/>
      <c r="AI15" s="1088"/>
      <c r="AJ15" s="1088"/>
      <c r="AK15" s="1088"/>
      <c r="AL15" s="1088"/>
      <c r="AM15" s="1088"/>
      <c r="AN15" s="1088"/>
      <c r="AO15" s="1088"/>
      <c r="AP15" s="1088"/>
      <c r="AQ15" s="1088"/>
      <c r="AR15" s="1088"/>
      <c r="AS15" s="1088"/>
      <c r="AT15" s="1088"/>
      <c r="AU15" s="1088"/>
      <c r="AV15" s="1088"/>
      <c r="AW15" s="1088"/>
      <c r="AX15" s="1088"/>
      <c r="AY15" s="1088"/>
      <c r="AZ15" s="1088"/>
      <c r="BA15" s="1088"/>
      <c r="BB15" s="1088"/>
      <c r="BC15" s="1088"/>
      <c r="BD15" s="1088"/>
    </row>
    <row r="16" spans="1:57" ht="21" customHeight="1">
      <c r="B16" s="1101" t="s">
        <v>386</v>
      </c>
      <c r="C16" s="1102"/>
      <c r="D16" s="1102"/>
      <c r="E16" s="1102"/>
      <c r="F16" s="1102"/>
      <c r="G16" s="1102"/>
      <c r="H16" s="1103"/>
      <c r="I16" s="1103"/>
      <c r="J16" s="1103"/>
      <c r="K16" s="1103"/>
      <c r="L16" s="1103"/>
      <c r="M16" s="1104"/>
      <c r="N16" s="420"/>
      <c r="P16"/>
      <c r="Y16" s="1105" t="s">
        <v>387</v>
      </c>
      <c r="Z16" s="1106"/>
      <c r="AA16" s="1106"/>
      <c r="AB16" s="1107"/>
      <c r="AE16" s="1090" t="s">
        <v>388</v>
      </c>
      <c r="AF16" s="1090"/>
      <c r="AG16" s="1088"/>
      <c r="AH16" s="1088"/>
      <c r="AI16" s="1088"/>
      <c r="AJ16" s="1088"/>
      <c r="AK16" s="1088"/>
      <c r="AL16" s="1088"/>
      <c r="AM16" s="1088"/>
      <c r="AN16" s="1088"/>
      <c r="AO16" s="1088"/>
      <c r="AP16" s="1088"/>
      <c r="AQ16" s="1088"/>
      <c r="AR16" s="1088"/>
      <c r="AS16" s="1088"/>
      <c r="AT16" s="1088"/>
      <c r="AU16" s="1088"/>
      <c r="AV16" s="1088"/>
      <c r="AW16" s="1088"/>
      <c r="AX16" s="1088"/>
      <c r="AY16" s="1088"/>
      <c r="AZ16" s="1088"/>
      <c r="BA16" s="1088"/>
      <c r="BB16" s="1088"/>
      <c r="BC16" s="1088"/>
      <c r="BD16" s="1088"/>
    </row>
    <row r="17" spans="1:57" ht="21" customHeight="1">
      <c r="B17" s="1065" t="s">
        <v>389</v>
      </c>
      <c r="D17" s="1065" t="s">
        <v>390</v>
      </c>
      <c r="S17" s="2034" t="s">
        <v>391</v>
      </c>
      <c r="T17" s="2035"/>
      <c r="U17" s="2035"/>
      <c r="V17" s="2035"/>
      <c r="W17" s="2035"/>
      <c r="X17" s="2035"/>
      <c r="Y17" s="2035"/>
      <c r="Z17" s="2035"/>
      <c r="AA17" s="2035"/>
      <c r="AB17" s="2036"/>
      <c r="AE17" s="1090" t="s">
        <v>392</v>
      </c>
      <c r="AF17" s="1090"/>
      <c r="AG17" s="1088"/>
      <c r="AH17" s="1088"/>
      <c r="AI17" s="1088"/>
      <c r="AJ17" s="1088"/>
      <c r="AK17" s="1088"/>
      <c r="AL17" s="1088"/>
      <c r="AM17" s="1088"/>
      <c r="AN17" s="1088"/>
      <c r="AO17" s="1088"/>
      <c r="AP17" s="1088"/>
      <c r="AQ17" s="1088"/>
      <c r="AR17" s="1088"/>
      <c r="AS17" s="1088"/>
      <c r="AT17" s="1088"/>
      <c r="AU17" s="1088"/>
      <c r="AV17" s="1088"/>
      <c r="AW17" s="1088"/>
      <c r="AX17" s="1088"/>
      <c r="AY17" s="1088"/>
      <c r="AZ17" s="1088"/>
      <c r="BA17" s="1088"/>
      <c r="BB17" s="1088"/>
      <c r="BC17" s="1088"/>
      <c r="BD17" s="1088"/>
    </row>
    <row r="18" spans="1:57" ht="21" customHeight="1">
      <c r="B18" s="1067" t="s">
        <v>393</v>
      </c>
      <c r="D18" s="1065" t="s">
        <v>394</v>
      </c>
      <c r="O18" s="2005">
        <v>5.9800000000000001E-3</v>
      </c>
      <c r="P18" s="2037"/>
      <c r="Q18" s="2027"/>
      <c r="U18" s="1066"/>
      <c r="V18" s="1066"/>
      <c r="W18" s="2038" t="s">
        <v>395</v>
      </c>
      <c r="X18" s="2038"/>
      <c r="Y18" s="2039" t="s">
        <v>396</v>
      </c>
      <c r="Z18" s="2039"/>
      <c r="AA18" s="2039" t="s">
        <v>397</v>
      </c>
      <c r="AB18" s="2039"/>
    </row>
    <row r="19" spans="1:57" ht="21" customHeight="1">
      <c r="B19" s="1108" t="s">
        <v>398</v>
      </c>
      <c r="D19" s="1065" t="s">
        <v>399</v>
      </c>
      <c r="V19" s="1066"/>
      <c r="W19" s="2024" t="s">
        <v>400</v>
      </c>
      <c r="X19" s="2024"/>
      <c r="Y19" s="2025">
        <v>1.8800000000000001E-2</v>
      </c>
      <c r="Z19" s="2025"/>
      <c r="AA19" s="2025">
        <v>3.4200000000000001E-2</v>
      </c>
      <c r="AB19" s="2025"/>
      <c r="AE19" s="1090" t="s">
        <v>401</v>
      </c>
      <c r="AF19" s="1088"/>
      <c r="AG19" s="1088"/>
      <c r="AH19" s="1088"/>
      <c r="AI19" s="1088"/>
      <c r="AJ19" s="1088"/>
      <c r="AK19" s="1088"/>
      <c r="AL19" s="1088"/>
      <c r="AM19" s="1088"/>
      <c r="AN19" s="1088"/>
      <c r="AO19" s="1088"/>
      <c r="AP19" s="1088"/>
      <c r="AQ19" s="1088"/>
      <c r="AR19" s="1088"/>
      <c r="AS19" s="1088"/>
      <c r="AT19" s="1088"/>
      <c r="AU19" s="1088"/>
      <c r="AV19" s="1088"/>
      <c r="AW19" s="1088"/>
      <c r="AX19" s="1088"/>
      <c r="AY19" s="1088"/>
      <c r="AZ19" s="1088"/>
      <c r="BA19" s="1088"/>
      <c r="BB19" s="1088"/>
      <c r="BC19" s="1088"/>
      <c r="BD19" s="1088"/>
      <c r="BE19" s="1088"/>
    </row>
    <row r="20" spans="1:57" ht="21" customHeight="1" thickBot="1">
      <c r="B20" s="1067" t="s">
        <v>402</v>
      </c>
      <c r="D20" s="1065" t="s">
        <v>403</v>
      </c>
      <c r="J20" s="1067" t="s">
        <v>404</v>
      </c>
      <c r="L20" s="2005">
        <v>32.200000000000003</v>
      </c>
      <c r="M20" s="2027"/>
      <c r="N20" s="1109" t="s">
        <v>405</v>
      </c>
      <c r="P20" s="2028">
        <v>9.81</v>
      </c>
      <c r="Q20" s="2029"/>
      <c r="U20" s="1066"/>
      <c r="V20" s="1066"/>
      <c r="W20" s="2024" t="s">
        <v>406</v>
      </c>
      <c r="X20" s="2024"/>
      <c r="Y20" s="2025" t="s">
        <v>64</v>
      </c>
      <c r="Z20" s="2025"/>
      <c r="AA20" s="2025" t="s">
        <v>407</v>
      </c>
      <c r="AB20" s="2025"/>
      <c r="AE20" s="1088" t="s">
        <v>408</v>
      </c>
      <c r="AF20" s="1088"/>
      <c r="AG20" s="1088"/>
      <c r="AH20" s="1088"/>
      <c r="AI20" s="1088"/>
      <c r="AJ20" s="1088"/>
      <c r="AK20" s="1088"/>
      <c r="AL20" s="1088"/>
      <c r="AM20" s="1088"/>
      <c r="AN20" s="1088"/>
      <c r="AO20" s="1088"/>
      <c r="AP20" s="1088"/>
      <c r="AQ20" s="1088"/>
      <c r="AR20" s="1088"/>
      <c r="AS20" s="1088"/>
      <c r="AT20" s="1088"/>
      <c r="AU20" s="1088"/>
      <c r="AV20" s="1088"/>
      <c r="AW20" s="1088"/>
      <c r="AX20" s="1088"/>
      <c r="AY20" s="1088"/>
      <c r="AZ20" s="1088"/>
      <c r="BA20" s="1088"/>
      <c r="BB20" s="1088"/>
      <c r="BC20" s="1088"/>
      <c r="BD20" s="1088"/>
      <c r="BE20" s="1088"/>
    </row>
    <row r="21" spans="1:57" ht="21" customHeight="1">
      <c r="B21" s="1067" t="s">
        <v>409</v>
      </c>
      <c r="D21" s="1110" t="s">
        <v>410</v>
      </c>
      <c r="F21" s="1110" t="s">
        <v>411</v>
      </c>
      <c r="I21" s="1110" t="s">
        <v>412</v>
      </c>
      <c r="M21" s="1111"/>
      <c r="N21" s="1112"/>
      <c r="O21" s="1113"/>
      <c r="P21" s="1112"/>
      <c r="Q21" s="1112"/>
      <c r="R21" s="1112"/>
      <c r="S21" s="1112"/>
      <c r="T21" s="1112"/>
      <c r="U21" s="1112"/>
      <c r="V21" s="1114"/>
      <c r="W21" s="2021" t="s">
        <v>413</v>
      </c>
      <c r="X21" s="2024"/>
      <c r="Y21" s="2025" t="s">
        <v>64</v>
      </c>
      <c r="Z21" s="2025"/>
      <c r="AA21" s="2025" t="s">
        <v>407</v>
      </c>
      <c r="AB21" s="2025"/>
      <c r="AE21" s="1115"/>
      <c r="AF21" s="1116"/>
      <c r="AG21" s="1116"/>
      <c r="AH21" s="1116"/>
      <c r="AI21" s="1116"/>
      <c r="AJ21" s="1116"/>
      <c r="AK21" s="1116"/>
      <c r="AL21" s="1116"/>
      <c r="AM21" s="1116"/>
      <c r="AN21" s="1117"/>
      <c r="AO21" s="1118"/>
      <c r="AP21" s="1118"/>
      <c r="AQ21" s="1088"/>
      <c r="AR21" s="1119" t="s">
        <v>414</v>
      </c>
      <c r="AS21" s="1088"/>
      <c r="AT21" s="1120" t="s">
        <v>415</v>
      </c>
      <c r="AV21" s="1088"/>
      <c r="AX21" s="1088"/>
      <c r="AY21" s="1088"/>
      <c r="AZ21" s="1088"/>
      <c r="BA21" s="1088"/>
      <c r="BB21" s="1088"/>
      <c r="BC21" s="1088"/>
      <c r="BD21" s="1088"/>
      <c r="BE21" s="1088"/>
    </row>
    <row r="22" spans="1:57" ht="21" customHeight="1" thickBot="1">
      <c r="B22" s="1067" t="s">
        <v>416</v>
      </c>
      <c r="D22" s="1110" t="s">
        <v>417</v>
      </c>
      <c r="F22" s="1110" t="s">
        <v>411</v>
      </c>
      <c r="I22" s="1110" t="s">
        <v>412</v>
      </c>
      <c r="M22" s="1121"/>
      <c r="N22" s="1122"/>
      <c r="O22" s="1122"/>
      <c r="P22" s="1122"/>
      <c r="Q22" s="1122"/>
      <c r="R22" s="1122"/>
      <c r="S22" s="1122"/>
      <c r="T22" s="1122"/>
      <c r="U22" s="1122"/>
      <c r="V22" s="1123"/>
      <c r="W22" s="2026" t="s">
        <v>418</v>
      </c>
      <c r="X22" s="2021"/>
      <c r="Y22" s="2022" t="s">
        <v>419</v>
      </c>
      <c r="Z22" s="2023"/>
      <c r="AA22" s="2022" t="s">
        <v>420</v>
      </c>
      <c r="AB22" s="2023"/>
      <c r="AE22" s="1124"/>
      <c r="AF22" s="1125"/>
      <c r="AG22" s="1125"/>
      <c r="AH22" s="1125"/>
      <c r="AI22" s="1125"/>
      <c r="AJ22" s="1125"/>
      <c r="AK22" s="1125"/>
      <c r="AL22" s="1125"/>
      <c r="AM22" s="1125"/>
      <c r="AN22" s="1126"/>
      <c r="AO22" s="1118"/>
      <c r="AP22" s="1118"/>
      <c r="AQ22" s="1088"/>
      <c r="AR22" s="1127" t="s">
        <v>421</v>
      </c>
      <c r="AS22" s="1088"/>
      <c r="AT22" s="1120" t="s">
        <v>422</v>
      </c>
      <c r="AV22" s="1088"/>
      <c r="AX22" s="1088"/>
      <c r="AY22" s="1088"/>
      <c r="AZ22" s="1088"/>
      <c r="BA22" s="1088"/>
      <c r="BB22" s="1088"/>
      <c r="BC22" s="1088"/>
      <c r="BD22" s="1088"/>
      <c r="BE22" s="1088"/>
    </row>
    <row r="23" spans="1:57" ht="21" customHeight="1" thickBot="1">
      <c r="B23" s="1067" t="s">
        <v>423</v>
      </c>
      <c r="D23" s="1065" t="s">
        <v>424</v>
      </c>
      <c r="R23" s="1128" t="s">
        <v>425</v>
      </c>
      <c r="S23" s="1129"/>
      <c r="T23" s="1129"/>
      <c r="U23" s="2018">
        <f>O18*L20*0.073</f>
        <v>1.4056588000000002E-2</v>
      </c>
      <c r="V23" s="2019"/>
      <c r="W23" s="2020" t="s">
        <v>426</v>
      </c>
      <c r="X23" s="2021"/>
      <c r="Y23" s="2022" t="s">
        <v>427</v>
      </c>
      <c r="Z23" s="2023"/>
      <c r="AA23" s="2022" t="s">
        <v>428</v>
      </c>
      <c r="AB23" s="2023"/>
      <c r="AE23" s="1130"/>
      <c r="AF23" s="1130"/>
      <c r="AG23" s="1130"/>
      <c r="AH23" s="1130"/>
      <c r="AI23" s="1118"/>
      <c r="AJ23" s="1118"/>
      <c r="AK23" s="1118"/>
      <c r="AL23" s="1118"/>
      <c r="AM23" s="1118"/>
      <c r="AN23" s="1118"/>
      <c r="AO23" s="1118"/>
      <c r="AP23" s="1118"/>
      <c r="AQ23" s="1088"/>
      <c r="AR23" s="1127" t="s">
        <v>429</v>
      </c>
      <c r="AS23" s="1088"/>
      <c r="AT23" s="1088"/>
      <c r="AU23" s="1120" t="s">
        <v>430</v>
      </c>
      <c r="AV23" s="1088"/>
      <c r="AX23" s="1088"/>
      <c r="AY23" s="1088"/>
      <c r="AZ23" s="1088"/>
      <c r="BA23" s="1088"/>
      <c r="BB23" s="1088"/>
      <c r="BC23" s="1088"/>
      <c r="BD23" s="1088"/>
      <c r="BE23" s="1088"/>
    </row>
    <row r="24" spans="1:57" ht="21" customHeight="1" thickBot="1">
      <c r="A24" s="1093"/>
      <c r="B24" s="1093" t="s">
        <v>431</v>
      </c>
      <c r="C24" s="1077"/>
      <c r="D24" s="1077" t="s">
        <v>432</v>
      </c>
      <c r="E24" s="1077"/>
      <c r="F24" s="1077"/>
      <c r="G24" s="1077"/>
      <c r="H24" s="1077"/>
      <c r="I24" s="1077"/>
      <c r="J24" s="1077"/>
      <c r="K24" s="1077"/>
      <c r="L24" s="1077"/>
      <c r="M24" s="1077"/>
      <c r="N24" s="1077"/>
      <c r="O24" s="1077"/>
      <c r="P24" s="1077"/>
      <c r="Q24" s="1077"/>
      <c r="R24" s="1077"/>
      <c r="S24" s="1077"/>
      <c r="T24" s="1077"/>
      <c r="U24" s="1077"/>
      <c r="V24" s="1077"/>
      <c r="W24" s="1077"/>
      <c r="X24" s="1077"/>
      <c r="Y24" s="1077"/>
      <c r="Z24" s="1077"/>
      <c r="AA24" s="1077"/>
      <c r="AB24" s="1077"/>
      <c r="AE24" s="1119" t="s">
        <v>433</v>
      </c>
      <c r="AF24" s="1088"/>
      <c r="AG24" s="1088"/>
      <c r="AH24" s="1120" t="s">
        <v>434</v>
      </c>
      <c r="AI24" s="1088"/>
      <c r="AJ24" s="1088"/>
      <c r="AK24" s="1088"/>
      <c r="AL24" s="1088"/>
      <c r="AM24" s="1088"/>
      <c r="AN24" s="1088"/>
      <c r="AO24" s="1088"/>
      <c r="AP24" s="1088"/>
      <c r="AQ24" s="1088"/>
      <c r="AR24" s="1127" t="s">
        <v>435</v>
      </c>
      <c r="AS24" s="1088"/>
      <c r="AT24" s="1120" t="s">
        <v>436</v>
      </c>
      <c r="AV24" s="1088"/>
      <c r="AX24" s="1088"/>
      <c r="AY24" s="1088"/>
      <c r="AZ24" s="1088"/>
      <c r="BA24" s="1088"/>
      <c r="BB24" s="1088"/>
      <c r="BC24" s="1088"/>
      <c r="BD24" s="1088"/>
      <c r="BE24" s="1088"/>
    </row>
    <row r="25" spans="1:57" ht="21" customHeight="1" thickTop="1" thickBot="1">
      <c r="A25" s="1131" t="s">
        <v>437</v>
      </c>
      <c r="B25" s="1066"/>
      <c r="C25" s="1066"/>
      <c r="D25" s="1066"/>
      <c r="E25" s="1066"/>
      <c r="F25" s="1066" t="s">
        <v>438</v>
      </c>
      <c r="G25" s="1066"/>
      <c r="H25" s="1066"/>
      <c r="I25" s="1066"/>
      <c r="J25" s="1066"/>
      <c r="K25" s="1066"/>
      <c r="L25" s="1066"/>
      <c r="M25" s="1066"/>
      <c r="N25" s="1066"/>
      <c r="O25" s="1066"/>
      <c r="P25" s="1066"/>
      <c r="Q25" s="1066"/>
      <c r="R25" s="1066"/>
      <c r="S25" s="1066"/>
      <c r="T25" s="1066"/>
      <c r="U25" s="1066"/>
      <c r="V25" s="1066"/>
      <c r="W25" s="1066"/>
      <c r="X25" s="1066"/>
      <c r="Y25" s="1066"/>
      <c r="Z25" s="1066"/>
      <c r="AA25" s="1066"/>
      <c r="AB25" s="1066"/>
      <c r="AE25" s="1127" t="s">
        <v>439</v>
      </c>
      <c r="AF25" s="1088"/>
      <c r="AG25" s="1120" t="s">
        <v>440</v>
      </c>
      <c r="AM25" s="1088"/>
      <c r="AN25" s="1088"/>
      <c r="AO25" s="1088"/>
      <c r="AP25" s="1088"/>
      <c r="AQ25" s="1088"/>
      <c r="AV25" s="1088"/>
      <c r="AX25" s="1088"/>
      <c r="AZ25" s="1088"/>
      <c r="BA25" s="1088"/>
      <c r="BB25" s="1088"/>
      <c r="BC25" s="1088"/>
      <c r="BD25" s="1088"/>
      <c r="BE25" s="1088"/>
    </row>
    <row r="26" spans="1:57" ht="21" customHeight="1">
      <c r="A26" s="1132"/>
      <c r="B26" s="1101" t="s">
        <v>441</v>
      </c>
      <c r="C26" s="1103"/>
      <c r="D26" s="1103"/>
      <c r="E26" s="1103"/>
      <c r="F26" s="1103"/>
      <c r="G26" s="1103"/>
      <c r="H26" s="1103"/>
      <c r="I26" s="1103"/>
      <c r="J26" s="1103"/>
      <c r="K26" s="1104"/>
      <c r="L26" s="1066"/>
      <c r="M26" s="1133" t="s">
        <v>442</v>
      </c>
      <c r="N26" s="1066"/>
      <c r="O26" s="1066"/>
      <c r="P26" s="1134"/>
      <c r="Q26" s="1112"/>
      <c r="R26" s="1112"/>
      <c r="S26" s="1112"/>
      <c r="T26" s="1112"/>
      <c r="U26" s="1114"/>
      <c r="V26" s="1132" t="s">
        <v>443</v>
      </c>
      <c r="W26" s="1066"/>
      <c r="X26" s="1066"/>
      <c r="Y26" s="1066"/>
      <c r="Z26" s="1066"/>
      <c r="AA26" s="1998">
        <v>0.30480000000000002</v>
      </c>
      <c r="AB26" s="1998"/>
      <c r="AE26" t="s">
        <v>444</v>
      </c>
      <c r="AM26" s="1088"/>
      <c r="AN26" s="1088"/>
      <c r="AO26" s="1088"/>
      <c r="AP26" s="1088"/>
      <c r="AQ26" s="1088"/>
      <c r="AR26" s="1088"/>
      <c r="AS26" s="1088"/>
      <c r="AT26" s="1088"/>
      <c r="AU26" s="1088"/>
      <c r="AV26" s="1088"/>
      <c r="AW26" s="1088"/>
      <c r="AX26" s="1088"/>
      <c r="AY26" s="1088"/>
      <c r="AZ26" s="1088"/>
      <c r="BA26" s="1088"/>
      <c r="BB26" s="1088"/>
      <c r="BC26" s="1088"/>
      <c r="BD26" s="1088"/>
      <c r="BE26" s="1088"/>
    </row>
    <row r="27" spans="1:57" ht="21" customHeight="1" thickBot="1">
      <c r="A27" s="1132"/>
      <c r="B27" s="1135" t="s">
        <v>445</v>
      </c>
      <c r="C27" s="1066"/>
      <c r="D27" s="1066" t="s">
        <v>446</v>
      </c>
      <c r="E27" s="1066"/>
      <c r="F27" s="1066"/>
      <c r="G27" s="1066"/>
      <c r="H27" s="1066"/>
      <c r="I27" s="1066"/>
      <c r="J27" s="1066"/>
      <c r="K27" s="1066"/>
      <c r="L27" s="1066"/>
      <c r="M27" s="1066"/>
      <c r="N27" s="1066"/>
      <c r="O27" s="1066"/>
      <c r="P27" s="1121"/>
      <c r="Q27" s="1122"/>
      <c r="R27" s="1122"/>
      <c r="S27" s="1122"/>
      <c r="T27" s="1122"/>
      <c r="U27" s="1123"/>
      <c r="V27" s="1132" t="s">
        <v>447</v>
      </c>
      <c r="W27" s="1066"/>
      <c r="X27" s="1066"/>
      <c r="Y27" s="1066"/>
      <c r="Z27" s="1066"/>
      <c r="AA27" s="1998">
        <v>16.018463529999998</v>
      </c>
      <c r="AB27" s="1998"/>
      <c r="AI27" s="1088"/>
      <c r="AJ27" s="1088"/>
      <c r="AK27" s="1088"/>
      <c r="AL27" s="1088"/>
      <c r="AM27" s="1088"/>
      <c r="AN27" s="1088"/>
      <c r="AO27" s="1088"/>
      <c r="AP27" s="1088"/>
      <c r="AQ27" s="1088"/>
      <c r="AR27" s="1088"/>
      <c r="AS27" s="1088"/>
      <c r="AT27" s="1088"/>
      <c r="AU27" s="1088"/>
      <c r="AV27" s="1088"/>
      <c r="AX27" t="s">
        <v>448</v>
      </c>
      <c r="AY27" s="1088"/>
      <c r="AZ27" s="1088"/>
      <c r="BA27" s="1088"/>
      <c r="BB27" s="1088"/>
      <c r="BC27" s="1088"/>
      <c r="BD27" s="1088"/>
      <c r="BE27" s="1088"/>
    </row>
    <row r="28" spans="1:57" ht="21" customHeight="1">
      <c r="A28" s="1132"/>
      <c r="B28" s="1132" t="s">
        <v>449</v>
      </c>
      <c r="C28" s="1066"/>
      <c r="D28" s="1066" t="s">
        <v>450</v>
      </c>
      <c r="E28" s="1066"/>
      <c r="F28" s="1066"/>
      <c r="G28" s="1066"/>
      <c r="H28" s="1066"/>
      <c r="I28" s="1066"/>
      <c r="J28" s="1066"/>
      <c r="K28" s="1066"/>
      <c r="L28" s="1066"/>
      <c r="M28" s="2005">
        <v>1.29E-2</v>
      </c>
      <c r="N28" s="2006"/>
      <c r="O28" s="1066"/>
      <c r="R28" s="1136"/>
      <c r="S28" s="1066"/>
      <c r="V28" s="1132" t="s">
        <v>451</v>
      </c>
      <c r="W28" s="1066"/>
      <c r="X28" s="1066"/>
      <c r="Y28" s="1066"/>
      <c r="Z28" s="1066"/>
      <c r="AA28" s="1994">
        <v>0.58857880228076398</v>
      </c>
      <c r="AB28" s="1995"/>
    </row>
    <row r="29" spans="1:57" ht="21" customHeight="1">
      <c r="B29" s="1132" t="s">
        <v>452</v>
      </c>
      <c r="C29" s="1066"/>
      <c r="D29" s="1066" t="s">
        <v>453</v>
      </c>
      <c r="E29" s="1066"/>
      <c r="F29" s="1066"/>
      <c r="G29" s="1066"/>
      <c r="H29" s="1066"/>
      <c r="I29" s="1066"/>
      <c r="J29" s="1066"/>
      <c r="K29" s="1066"/>
      <c r="L29" s="1066"/>
      <c r="M29" s="2011">
        <v>0.65</v>
      </c>
      <c r="N29" s="2006"/>
      <c r="O29" s="1066"/>
      <c r="Q29" s="1066"/>
      <c r="R29" s="1066"/>
      <c r="V29" s="1132" t="s">
        <v>454</v>
      </c>
      <c r="W29" s="1066"/>
      <c r="X29" s="1066"/>
      <c r="Y29" s="1066"/>
      <c r="AA29" s="1998">
        <v>1.609</v>
      </c>
      <c r="AB29" s="1998"/>
      <c r="AE29" s="1090" t="s">
        <v>455</v>
      </c>
      <c r="BE29" s="1088"/>
    </row>
    <row r="30" spans="1:57" ht="21" customHeight="1" thickBot="1">
      <c r="B30" s="1132" t="s">
        <v>69</v>
      </c>
      <c r="C30" s="1066"/>
      <c r="D30" s="1066" t="s">
        <v>456</v>
      </c>
      <c r="E30" s="1066"/>
      <c r="F30" s="1066"/>
      <c r="G30" s="1066"/>
      <c r="H30" s="1066"/>
      <c r="I30" s="1066"/>
      <c r="J30" s="1066"/>
      <c r="K30" s="1066"/>
      <c r="L30" s="2005">
        <v>0.4</v>
      </c>
      <c r="M30" s="2006"/>
      <c r="O30" s="1130"/>
      <c r="P30" s="420"/>
      <c r="Q30" s="420"/>
      <c r="R30" s="420"/>
      <c r="S30" s="420"/>
      <c r="T30" s="420"/>
      <c r="U30" s="420"/>
      <c r="V30" s="1132" t="s">
        <v>457</v>
      </c>
      <c r="W30" s="1066"/>
      <c r="X30" s="1066"/>
      <c r="Y30" s="1066"/>
      <c r="AA30" s="1998">
        <v>4.0160999999999998</v>
      </c>
      <c r="AB30" s="1998"/>
      <c r="AE30" t="s">
        <v>458</v>
      </c>
      <c r="BE30" s="1088"/>
    </row>
    <row r="31" spans="1:57" ht="21" customHeight="1">
      <c r="B31" s="1132" t="s">
        <v>398</v>
      </c>
      <c r="C31" s="1066"/>
      <c r="D31" s="1137" t="s">
        <v>459</v>
      </c>
      <c r="E31" s="1066"/>
      <c r="F31" s="1066"/>
      <c r="G31" s="1066"/>
      <c r="H31" s="1066"/>
      <c r="I31" s="1066"/>
      <c r="J31" s="1066"/>
      <c r="K31" s="1066"/>
      <c r="L31" s="1066"/>
      <c r="M31" s="1066"/>
      <c r="N31" s="1134"/>
      <c r="O31" s="1112"/>
      <c r="P31" s="1112"/>
      <c r="Q31" s="1112"/>
      <c r="R31" s="1112"/>
      <c r="S31" s="1112"/>
      <c r="T31" s="1112"/>
      <c r="U31" s="1114"/>
      <c r="V31" s="1132" t="s">
        <v>460</v>
      </c>
      <c r="W31" s="1066"/>
      <c r="X31" s="1066"/>
      <c r="Y31" s="1066"/>
      <c r="AA31" s="1998">
        <f>1/V36</f>
        <v>0.29529980164712327</v>
      </c>
      <c r="AB31" s="1998"/>
      <c r="AE31" s="1115"/>
      <c r="AF31" s="1138"/>
      <c r="AG31" s="1138"/>
      <c r="AH31" s="1138"/>
      <c r="AI31" s="1138"/>
      <c r="AJ31" s="1138"/>
      <c r="AK31" s="1138"/>
      <c r="AL31" s="1138"/>
      <c r="AM31" s="1138"/>
      <c r="AN31" s="1138"/>
      <c r="AO31" s="1138"/>
      <c r="AP31" s="1138"/>
      <c r="AQ31" s="1138"/>
      <c r="AR31" s="1139"/>
      <c r="AU31" s="1140" t="s">
        <v>461</v>
      </c>
      <c r="AV31" s="1141"/>
      <c r="AW31" s="1088"/>
      <c r="AX31" s="1120" t="s">
        <v>462</v>
      </c>
      <c r="BE31" s="1088"/>
    </row>
    <row r="32" spans="1:57" ht="21" customHeight="1" thickBot="1">
      <c r="B32" s="1132" t="s">
        <v>463</v>
      </c>
      <c r="C32" s="1066"/>
      <c r="D32" s="1066" t="s">
        <v>464</v>
      </c>
      <c r="E32" s="1066"/>
      <c r="F32" s="1066"/>
      <c r="G32" s="1066"/>
      <c r="H32" s="1066"/>
      <c r="I32" s="1066"/>
      <c r="J32" s="1066"/>
      <c r="K32" s="1066"/>
      <c r="L32" s="1066"/>
      <c r="M32" s="1066"/>
      <c r="N32" s="1121"/>
      <c r="O32" s="1122"/>
      <c r="P32" s="1122"/>
      <c r="Q32" s="1122"/>
      <c r="R32" s="1122"/>
      <c r="S32" s="1122"/>
      <c r="T32" s="1122"/>
      <c r="U32" s="1123"/>
      <c r="V32" s="1132" t="s">
        <v>465</v>
      </c>
      <c r="W32" s="1066"/>
      <c r="X32" s="1066"/>
      <c r="Y32" s="1066"/>
      <c r="AA32" s="2012">
        <v>0.145038</v>
      </c>
      <c r="AB32" s="2012"/>
      <c r="AE32" s="1142"/>
      <c r="AF32" s="1143"/>
      <c r="AG32" s="1143"/>
      <c r="AH32" s="1143"/>
      <c r="AI32" s="1125"/>
      <c r="AJ32" s="1125"/>
      <c r="AK32" s="1125"/>
      <c r="AL32" s="1125"/>
      <c r="AM32" s="1125"/>
      <c r="AN32" s="1125"/>
      <c r="AO32" s="1125"/>
      <c r="AP32" s="1125"/>
      <c r="AQ32" s="1125"/>
      <c r="AR32" s="1126"/>
      <c r="AS32" s="1088"/>
      <c r="AT32" s="1088"/>
      <c r="AU32" s="1127" t="s">
        <v>466</v>
      </c>
      <c r="AV32" s="1141"/>
      <c r="AW32" s="1120" t="s">
        <v>467</v>
      </c>
      <c r="AX32" s="1088"/>
      <c r="AY32" s="1088"/>
      <c r="AZ32" s="1088"/>
      <c r="BA32" s="1088"/>
      <c r="BB32" s="1088"/>
      <c r="BC32" s="1088"/>
      <c r="BD32" s="1088"/>
      <c r="BE32" s="1088"/>
    </row>
    <row r="33" spans="1:57" ht="21" customHeight="1" thickBot="1">
      <c r="A33" s="1093"/>
      <c r="B33" s="1093" t="s">
        <v>468</v>
      </c>
      <c r="C33" s="1077"/>
      <c r="D33" s="1077"/>
      <c r="E33" s="1077"/>
      <c r="F33" s="1077"/>
      <c r="G33" s="1077"/>
      <c r="H33" s="1077"/>
      <c r="I33" s="1077"/>
      <c r="J33" s="2013">
        <v>0.02</v>
      </c>
      <c r="K33" s="2014"/>
      <c r="L33" s="1144" t="s">
        <v>469</v>
      </c>
      <c r="M33" s="2013">
        <v>0.03</v>
      </c>
      <c r="N33" s="2015"/>
      <c r="O33" s="1077"/>
      <c r="P33" s="1077"/>
      <c r="Q33" s="1077"/>
      <c r="R33" s="1077"/>
      <c r="S33" s="1077"/>
      <c r="T33" s="1077"/>
      <c r="U33" s="1077"/>
      <c r="V33" s="1093" t="s">
        <v>470</v>
      </c>
      <c r="W33" s="1077"/>
      <c r="X33" s="1077"/>
      <c r="Y33" s="1077"/>
      <c r="Z33" s="1077"/>
      <c r="AA33" s="2016">
        <v>9.2902999999999999E-2</v>
      </c>
      <c r="AB33" s="2017"/>
      <c r="AI33" s="1088"/>
      <c r="AJ33" s="1088"/>
      <c r="AK33" s="1088"/>
      <c r="AL33" s="1088"/>
      <c r="AM33" s="1088"/>
      <c r="AN33" s="1088"/>
      <c r="AO33" s="1088"/>
      <c r="AP33" s="1088"/>
      <c r="AQ33" s="1088"/>
      <c r="AR33" s="1088"/>
      <c r="AS33" s="1088"/>
      <c r="AT33" s="1088"/>
      <c r="AU33" s="1127" t="s">
        <v>429</v>
      </c>
      <c r="AV33" s="1141"/>
      <c r="AW33" s="1088"/>
      <c r="AX33" s="1120" t="s">
        <v>430</v>
      </c>
      <c r="AY33" s="1088"/>
      <c r="AZ33" s="1088"/>
      <c r="BA33" s="1088"/>
      <c r="BB33" s="1088"/>
      <c r="BC33" s="1088"/>
      <c r="BD33" s="1088"/>
      <c r="BE33" s="1088"/>
    </row>
    <row r="34" spans="1:57" ht="21" customHeight="1" thickTop="1">
      <c r="A34" s="1100" t="s">
        <v>471</v>
      </c>
      <c r="K34" s="1099" t="s">
        <v>472</v>
      </c>
      <c r="AE34" s="1127" t="s">
        <v>473</v>
      </c>
      <c r="AF34" s="1141"/>
      <c r="AG34" s="1088"/>
      <c r="AH34" s="1088"/>
      <c r="AI34" s="1120" t="s">
        <v>474</v>
      </c>
      <c r="AJ34" s="1088"/>
      <c r="AK34" s="1088"/>
      <c r="AL34" s="1088"/>
      <c r="AM34" s="1088"/>
      <c r="AN34" s="1088"/>
      <c r="AO34" s="1088"/>
      <c r="AP34" s="1088"/>
      <c r="AQ34" s="1088"/>
      <c r="AR34" s="1088"/>
      <c r="AS34" s="1088"/>
      <c r="AT34" s="1088"/>
      <c r="AU34" s="1119" t="s">
        <v>475</v>
      </c>
      <c r="AV34" s="1141"/>
      <c r="AW34" s="1145" t="s">
        <v>476</v>
      </c>
      <c r="AX34" s="1088"/>
      <c r="AY34" s="1088"/>
      <c r="AZ34" s="1088"/>
      <c r="BA34" s="1088"/>
      <c r="BB34" s="1088"/>
      <c r="BC34" s="1088"/>
      <c r="BD34" s="1088"/>
      <c r="BE34" s="1088"/>
    </row>
    <row r="35" spans="1:57" ht="21" customHeight="1" thickBot="1">
      <c r="B35" s="1146" t="s">
        <v>477</v>
      </c>
      <c r="C35" s="1147"/>
      <c r="D35" s="1147"/>
      <c r="E35" s="1147"/>
      <c r="F35" s="1147"/>
      <c r="G35" s="1147"/>
      <c r="H35" s="1147"/>
      <c r="I35" s="1148" t="s">
        <v>478</v>
      </c>
      <c r="J35" s="1149"/>
      <c r="K35" s="2005">
        <v>0.6</v>
      </c>
      <c r="L35" s="2006"/>
      <c r="T35" s="1066" t="s">
        <v>479</v>
      </c>
      <c r="U35" s="1150"/>
      <c r="V35" s="2007" t="s">
        <v>480</v>
      </c>
      <c r="W35" s="2008"/>
      <c r="Y35" s="1066" t="s">
        <v>479</v>
      </c>
      <c r="Z35" s="1150"/>
      <c r="AA35" s="2009" t="s">
        <v>481</v>
      </c>
      <c r="AB35" s="2010"/>
      <c r="AE35" s="1127" t="s">
        <v>482</v>
      </c>
      <c r="AF35" s="1141"/>
      <c r="AG35" s="1088"/>
      <c r="AH35" s="1088"/>
      <c r="AI35" s="1120" t="s">
        <v>483</v>
      </c>
      <c r="AJ35" s="1088"/>
      <c r="AK35" s="1088"/>
      <c r="AL35" s="1088"/>
      <c r="AM35" s="1088"/>
      <c r="AN35" s="1088"/>
      <c r="AO35" s="1088"/>
      <c r="AP35" s="1088"/>
      <c r="AQ35" s="1088"/>
      <c r="AR35" s="1088"/>
      <c r="AS35" s="1088"/>
      <c r="AT35" s="1088"/>
      <c r="AU35" s="1088"/>
      <c r="AV35" s="1088"/>
      <c r="AW35" s="1088"/>
      <c r="AX35" s="1088"/>
      <c r="AY35" s="1088"/>
      <c r="AZ35" s="1088"/>
      <c r="BA35" s="1088"/>
      <c r="BB35" s="1088"/>
      <c r="BC35" s="1088"/>
      <c r="BD35" s="1088"/>
      <c r="BE35" s="1088"/>
    </row>
    <row r="36" spans="1:57" ht="21" customHeight="1">
      <c r="B36" s="1151" t="s">
        <v>484</v>
      </c>
      <c r="C36" s="1152" t="s">
        <v>485</v>
      </c>
      <c r="N36" s="1134"/>
      <c r="O36" s="1112"/>
      <c r="P36" s="1112"/>
      <c r="Q36" s="1112"/>
      <c r="R36" s="1112"/>
      <c r="S36" s="1114"/>
      <c r="T36" s="2001" t="s">
        <v>18</v>
      </c>
      <c r="U36" s="2002"/>
      <c r="V36" s="1994">
        <v>3.3863889999999999</v>
      </c>
      <c r="W36" s="1995"/>
      <c r="Y36" s="2003" t="s">
        <v>18</v>
      </c>
      <c r="Z36" s="2004"/>
      <c r="AA36" s="1994">
        <v>0.24884500000000001</v>
      </c>
      <c r="AB36" s="1995"/>
      <c r="AE36" s="1090" t="s">
        <v>486</v>
      </c>
      <c r="AH36" s="1088"/>
      <c r="AI36" s="1088"/>
      <c r="AJ36" s="1088"/>
      <c r="AK36" s="1088"/>
      <c r="AL36" s="1088"/>
      <c r="AM36" s="1088"/>
      <c r="AO36" s="1088"/>
      <c r="AP36" s="1088"/>
      <c r="AQ36" s="1088"/>
      <c r="AR36" s="1088"/>
      <c r="AS36" s="1088"/>
      <c r="AT36" s="1088"/>
      <c r="AU36" s="1088"/>
      <c r="AV36" s="1088"/>
      <c r="AW36" s="1088"/>
      <c r="AX36" s="1088"/>
      <c r="AY36" s="1088"/>
      <c r="AZ36" s="1088"/>
      <c r="BA36" s="1088"/>
      <c r="BB36" s="1088"/>
      <c r="BC36" s="1088"/>
      <c r="BD36" s="1088"/>
      <c r="BE36" s="1088"/>
    </row>
    <row r="37" spans="1:57" ht="21" customHeight="1" thickBot="1">
      <c r="B37" s="1067" t="s">
        <v>72</v>
      </c>
      <c r="D37" s="1110" t="s">
        <v>487</v>
      </c>
      <c r="L37"/>
      <c r="N37" s="1121"/>
      <c r="O37" s="1122"/>
      <c r="P37" s="1122"/>
      <c r="Q37" s="1122"/>
      <c r="R37" s="1122"/>
      <c r="S37" s="1123"/>
      <c r="T37" s="2001" t="s">
        <v>488</v>
      </c>
      <c r="U37" s="2002"/>
      <c r="V37" s="1994">
        <v>13.596</v>
      </c>
      <c r="W37" s="1995"/>
      <c r="Y37" s="2003" t="s">
        <v>62</v>
      </c>
      <c r="Z37" s="2004"/>
      <c r="AA37" s="1994">
        <v>7.3684257279742205E-2</v>
      </c>
      <c r="AB37" s="1995"/>
      <c r="AJ37" s="1088"/>
      <c r="AK37" s="1088"/>
      <c r="AL37" s="1088"/>
      <c r="AM37" s="1088"/>
      <c r="AN37" s="1088"/>
      <c r="AO37" s="1088"/>
      <c r="AP37" s="1088"/>
      <c r="AQ37" s="1088"/>
      <c r="AR37" s="1088"/>
      <c r="AS37" s="1088"/>
      <c r="AT37" s="1088"/>
      <c r="AU37" s="1088"/>
      <c r="AV37" s="1088"/>
      <c r="AW37" s="1088"/>
      <c r="AX37" s="1088"/>
      <c r="AY37" s="1088"/>
      <c r="AZ37" s="1088" t="s">
        <v>489</v>
      </c>
      <c r="BA37" s="1088"/>
      <c r="BB37" s="1088"/>
      <c r="BC37" s="1088"/>
      <c r="BD37" s="1088"/>
      <c r="BE37" s="1088"/>
    </row>
    <row r="38" spans="1:57" ht="21" customHeight="1">
      <c r="B38" s="1153" t="s">
        <v>143</v>
      </c>
      <c r="D38" s="1065" t="s">
        <v>490</v>
      </c>
      <c r="T38" s="1992" t="s">
        <v>64</v>
      </c>
      <c r="U38" s="1993"/>
      <c r="V38" s="1994">
        <v>0.49114999999999998</v>
      </c>
      <c r="W38" s="1995"/>
      <c r="Y38" s="1996" t="s">
        <v>64</v>
      </c>
      <c r="Z38" s="1997"/>
      <c r="AA38" s="1994">
        <v>3.6091901676055402E-2</v>
      </c>
      <c r="AB38" s="1995"/>
      <c r="AJ38" s="1088"/>
      <c r="AK38" s="1088"/>
      <c r="AL38" s="1088"/>
      <c r="AM38" s="1088"/>
      <c r="AN38" s="1088"/>
      <c r="AO38" s="1088"/>
      <c r="AP38" s="1088"/>
      <c r="AQ38" s="1088"/>
      <c r="AR38" s="1088"/>
      <c r="AS38" s="1088"/>
      <c r="AT38" s="1088"/>
      <c r="AU38" s="1088"/>
      <c r="AV38" s="1088"/>
      <c r="AW38" s="1088"/>
      <c r="AX38" s="1088"/>
      <c r="AY38" s="1088"/>
      <c r="AZ38" s="1088"/>
      <c r="BA38" s="1088"/>
      <c r="BB38" s="1088"/>
      <c r="BC38" s="1088"/>
      <c r="BD38" s="1088"/>
      <c r="BE38" s="1088"/>
    </row>
    <row r="39" spans="1:57" ht="21" customHeight="1">
      <c r="B39" s="1153" t="s">
        <v>157</v>
      </c>
      <c r="D39" s="1065" t="s">
        <v>491</v>
      </c>
      <c r="T39" s="1992" t="s">
        <v>492</v>
      </c>
      <c r="U39" s="1993"/>
      <c r="V39" s="1994">
        <v>3.4531550000000001E-2</v>
      </c>
      <c r="W39" s="1995"/>
      <c r="Y39" s="420" t="s">
        <v>492</v>
      </c>
      <c r="Z39" s="1154"/>
      <c r="AA39" s="1998">
        <v>25.375</v>
      </c>
      <c r="AB39" s="1998"/>
      <c r="AE39" s="1090" t="s">
        <v>493</v>
      </c>
      <c r="AI39" s="1088"/>
      <c r="AJ39" s="1088"/>
      <c r="AK39" s="1088"/>
      <c r="AL39" s="1088"/>
      <c r="AM39" s="1088"/>
      <c r="AN39" s="1088"/>
      <c r="AO39" s="1088"/>
      <c r="AP39" s="1088"/>
      <c r="AQ39" s="1088"/>
      <c r="AR39" s="1088"/>
      <c r="AS39" s="1088"/>
      <c r="AT39" s="1088"/>
      <c r="AU39" s="1088"/>
      <c r="AV39" s="1088"/>
      <c r="AW39" s="1088"/>
      <c r="AX39" s="1088"/>
      <c r="AY39" s="1088"/>
      <c r="AZ39" s="1088"/>
      <c r="BA39" s="1088"/>
      <c r="BB39" s="1088"/>
      <c r="BC39" s="1088"/>
      <c r="BD39" s="1088"/>
      <c r="BE39" s="1088"/>
    </row>
    <row r="40" spans="1:57" ht="21" customHeight="1">
      <c r="B40" s="1153" t="s">
        <v>494</v>
      </c>
      <c r="D40" s="1065" t="s">
        <v>495</v>
      </c>
      <c r="T40" s="1066" t="s">
        <v>496</v>
      </c>
      <c r="U40" s="1150"/>
      <c r="V40" s="1994">
        <v>25.4</v>
      </c>
      <c r="W40" s="1995"/>
      <c r="Y40" s="1066" t="s">
        <v>496</v>
      </c>
      <c r="Z40" s="1150"/>
      <c r="AA40" s="1999">
        <v>186.821</v>
      </c>
      <c r="AB40" s="2000"/>
      <c r="AE40" s="1115"/>
      <c r="AF40" s="1138"/>
      <c r="AG40" s="1138"/>
      <c r="AH40" s="1138"/>
      <c r="AI40" s="1116"/>
      <c r="AJ40" s="1116"/>
      <c r="AK40" s="1116"/>
      <c r="AL40" s="1116"/>
      <c r="AM40" s="1116"/>
      <c r="AN40" s="1117"/>
      <c r="AO40" s="1088"/>
      <c r="AP40" s="1155" t="s">
        <v>143</v>
      </c>
      <c r="AQ40" s="1088"/>
      <c r="AR40" s="1120" t="s">
        <v>497</v>
      </c>
      <c r="AV40" s="1088"/>
      <c r="AW40" s="1088"/>
      <c r="AX40" s="1088"/>
      <c r="AY40" s="1088"/>
      <c r="AZ40" s="1088"/>
      <c r="BA40" s="1088"/>
      <c r="BB40" s="1088"/>
      <c r="BC40" s="1088"/>
      <c r="BD40" s="1088"/>
      <c r="BE40" s="1088"/>
    </row>
    <row r="41" spans="1:57" ht="21" customHeight="1">
      <c r="B41" s="1153" t="s">
        <v>498</v>
      </c>
      <c r="D41" s="1110" t="s">
        <v>499</v>
      </c>
      <c r="AE41" s="1124"/>
      <c r="AF41" s="1125"/>
      <c r="AG41" s="1125"/>
      <c r="AH41" s="1125"/>
      <c r="AI41" s="1125"/>
      <c r="AJ41" s="1125"/>
      <c r="AK41" s="1125"/>
      <c r="AL41" s="1125"/>
      <c r="AM41" s="1125"/>
      <c r="AN41" s="1126"/>
      <c r="AO41" s="1088"/>
      <c r="AP41" s="1119" t="s">
        <v>414</v>
      </c>
      <c r="AQ41" s="1088"/>
      <c r="AR41" s="1145" t="s">
        <v>500</v>
      </c>
      <c r="AT41" s="1088"/>
      <c r="AU41" s="1088"/>
      <c r="AV41" s="1088"/>
      <c r="AW41" s="1155" t="s">
        <v>501</v>
      </c>
      <c r="AY41" s="1120" t="s">
        <v>502</v>
      </c>
      <c r="AZ41" s="1088"/>
      <c r="BA41" s="1088"/>
      <c r="BB41" s="1088"/>
      <c r="BC41" s="1088"/>
      <c r="BD41" s="1088"/>
      <c r="BE41" s="1088"/>
    </row>
    <row r="42" spans="1:57" ht="21" customHeight="1">
      <c r="A42" s="1132"/>
      <c r="I42" s="1156" t="s">
        <v>503</v>
      </c>
      <c r="P42" s="1987">
        <v>14.696</v>
      </c>
      <c r="Q42" s="1988"/>
      <c r="R42" s="1081" t="s">
        <v>64</v>
      </c>
      <c r="T42" s="1987">
        <v>29.92</v>
      </c>
      <c r="U42" s="1988"/>
      <c r="V42" s="1081" t="s">
        <v>17</v>
      </c>
      <c r="X42" s="1987">
        <f>$Y$13*27.7070465550844</f>
        <v>407.18275617352032</v>
      </c>
      <c r="Y42" s="1989"/>
      <c r="Z42" s="1988"/>
      <c r="AA42" s="1157" t="s">
        <v>381</v>
      </c>
      <c r="AB42" s="1158"/>
      <c r="AE42" s="1088"/>
      <c r="AF42" s="1088"/>
      <c r="AG42" s="1088"/>
      <c r="AH42" s="1088"/>
      <c r="AI42" s="1088"/>
      <c r="AJ42" s="1088"/>
      <c r="AK42" s="1088"/>
      <c r="AL42" s="1088"/>
      <c r="AM42" s="1088"/>
      <c r="AN42" s="1088"/>
      <c r="AO42" s="1088"/>
      <c r="AP42" s="1119" t="s">
        <v>504</v>
      </c>
      <c r="AQ42" s="1088"/>
      <c r="AR42" s="1088"/>
      <c r="AS42" s="1088"/>
      <c r="AT42" s="1120" t="s">
        <v>505</v>
      </c>
      <c r="AU42" s="1088"/>
      <c r="AV42" s="1088"/>
      <c r="AW42" s="1088"/>
      <c r="AX42" s="1088"/>
      <c r="AY42" s="1088"/>
      <c r="AZ42" s="1088"/>
      <c r="BA42" s="1088"/>
      <c r="BB42" s="1088"/>
      <c r="BC42" s="1088"/>
      <c r="BD42" s="1088"/>
      <c r="BE42" s="1088"/>
    </row>
    <row r="43" spans="1:57" ht="21" customHeight="1">
      <c r="I43" s="1159" t="s">
        <v>506</v>
      </c>
      <c r="Y43" s="1990">
        <v>3.5000000000000003E-2</v>
      </c>
      <c r="Z43" s="1991"/>
      <c r="AA43" s="1135" t="s">
        <v>381</v>
      </c>
      <c r="AB43" s="1066"/>
    </row>
    <row r="44" spans="1:57" ht="21" customHeight="1">
      <c r="A44" s="1065"/>
    </row>
    <row r="45" spans="1:57" ht="21" customHeight="1">
      <c r="A45" s="1066"/>
      <c r="B45" s="1066"/>
      <c r="C45" s="1066"/>
      <c r="D45" s="1066"/>
      <c r="E45" s="1066"/>
      <c r="F45" s="1066"/>
      <c r="G45" s="1066"/>
      <c r="H45" s="1066"/>
      <c r="I45" s="1066"/>
      <c r="J45" s="1066"/>
      <c r="K45" s="1066"/>
      <c r="L45" s="1066"/>
      <c r="M45" s="1066"/>
      <c r="N45" s="1066"/>
      <c r="P45" s="1066"/>
      <c r="Q45" s="1066"/>
      <c r="R45" s="1066"/>
      <c r="W45" s="1066"/>
      <c r="X45" s="1066"/>
    </row>
    <row r="46" spans="1:57" ht="21" customHeight="1">
      <c r="A46" s="1065"/>
    </row>
    <row r="47" spans="1:57" ht="21" customHeight="1">
      <c r="A47" s="1065"/>
    </row>
    <row r="48" spans="1:57" ht="21" customHeight="1">
      <c r="A48" s="1065"/>
      <c r="T48" s="1066"/>
      <c r="U48" s="1066"/>
      <c r="V48" s="1066"/>
      <c r="W48" s="1066"/>
      <c r="X48" s="1066"/>
      <c r="Y48" s="1066"/>
    </row>
  </sheetData>
  <mergeCells count="68">
    <mergeCell ref="Y12:Z12"/>
    <mergeCell ref="L8:M8"/>
    <mergeCell ref="Q8:R8"/>
    <mergeCell ref="V8:W8"/>
    <mergeCell ref="AA8:AB8"/>
    <mergeCell ref="Y11:Z11"/>
    <mergeCell ref="Y13:Z13"/>
    <mergeCell ref="Y14:Z14"/>
    <mergeCell ref="S17:AB17"/>
    <mergeCell ref="O18:Q18"/>
    <mergeCell ref="W18:X18"/>
    <mergeCell ref="Y18:Z18"/>
    <mergeCell ref="AA18:AB18"/>
    <mergeCell ref="W19:X19"/>
    <mergeCell ref="Y19:Z19"/>
    <mergeCell ref="AA19:AB19"/>
    <mergeCell ref="L20:M20"/>
    <mergeCell ref="P20:Q20"/>
    <mergeCell ref="W20:X20"/>
    <mergeCell ref="Y20:Z20"/>
    <mergeCell ref="AA20:AB20"/>
    <mergeCell ref="AA27:AB27"/>
    <mergeCell ref="W21:X21"/>
    <mergeCell ref="Y21:Z21"/>
    <mergeCell ref="AA21:AB21"/>
    <mergeCell ref="W22:X22"/>
    <mergeCell ref="Y22:Z22"/>
    <mergeCell ref="AA22:AB22"/>
    <mergeCell ref="U23:V23"/>
    <mergeCell ref="W23:X23"/>
    <mergeCell ref="Y23:Z23"/>
    <mergeCell ref="AA23:AB23"/>
    <mergeCell ref="AA26:AB26"/>
    <mergeCell ref="K35:L35"/>
    <mergeCell ref="V35:W35"/>
    <mergeCell ref="AA35:AB35"/>
    <mergeCell ref="M28:N28"/>
    <mergeCell ref="AA28:AB28"/>
    <mergeCell ref="M29:N29"/>
    <mergeCell ref="AA29:AB29"/>
    <mergeCell ref="L30:M30"/>
    <mergeCell ref="AA30:AB30"/>
    <mergeCell ref="AA31:AB31"/>
    <mergeCell ref="AA32:AB32"/>
    <mergeCell ref="J33:K33"/>
    <mergeCell ref="M33:N33"/>
    <mergeCell ref="AA33:AB33"/>
    <mergeCell ref="T36:U36"/>
    <mergeCell ref="V36:W36"/>
    <mergeCell ref="Y36:Z36"/>
    <mergeCell ref="AA36:AB36"/>
    <mergeCell ref="T37:U37"/>
    <mergeCell ref="V37:W37"/>
    <mergeCell ref="Y37:Z37"/>
    <mergeCell ref="AA37:AB37"/>
    <mergeCell ref="AA38:AB38"/>
    <mergeCell ref="T39:U39"/>
    <mergeCell ref="V39:W39"/>
    <mergeCell ref="AA39:AB39"/>
    <mergeCell ref="V40:W40"/>
    <mergeCell ref="AA40:AB40"/>
    <mergeCell ref="P42:Q42"/>
    <mergeCell ref="T42:U42"/>
    <mergeCell ref="X42:Z42"/>
    <mergeCell ref="Y43:Z43"/>
    <mergeCell ref="T38:U38"/>
    <mergeCell ref="V38:W38"/>
    <mergeCell ref="Y38:Z38"/>
  </mergeCells>
  <pageMargins left="0.7" right="0.7" top="0.75" bottom="0.75" header="0.3" footer="0.3"/>
  <pageSetup scale="75" orientation="portrait" horizontalDpi="200" verticalDpi="200" r:id="rId1"/>
  <headerFooter>
    <oddHeader>&amp;L&amp;14&amp;F&amp;R&amp;14&amp;A</oddHeader>
    <oddFooter>&amp;L&amp;14Varkie C. Thomas, Ph.D., P.E.&amp;C&amp;14College of Architecture&amp;R&amp;14Illinois Institute of Technology, Chicago</oddFooter>
  </headerFooter>
  <drawing r:id="rId2"/>
  <legacyDrawing r:id="rId3"/>
  <oleObjects>
    <oleObject progId="Equation.3" shapeId="2049" r:id="rId4"/>
    <oleObject progId="Equation.3" shapeId="2050" r:id="rId5"/>
    <oleObject progId="Equation.3" shapeId="2051" r:id="rId6"/>
    <oleObject progId="Equation.3" shapeId="2052" r:id="rId7"/>
    <oleObject progId="Equation.3" shapeId="2053" r:id="rId8"/>
    <oleObject progId="Equation.3" shapeId="2054" r:id="rId9"/>
    <oleObject progId="Equation.3" shapeId="2055" r:id="rId10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1:U34"/>
  <sheetViews>
    <sheetView zoomScale="85" zoomScaleNormal="85" workbookViewId="0">
      <selection activeCell="R23" sqref="R23"/>
    </sheetView>
  </sheetViews>
  <sheetFormatPr defaultColWidth="8.19921875" defaultRowHeight="15" customHeight="1"/>
  <cols>
    <col min="1" max="1" width="1.69921875" style="1160" customWidth="1"/>
    <col min="2" max="2" width="6.19921875" style="1160" customWidth="1"/>
    <col min="3" max="5" width="6.19921875" style="1170" customWidth="1"/>
    <col min="6" max="6" width="7.19921875" style="1171" customWidth="1"/>
    <col min="7" max="7" width="2.69921875" style="1170" customWidth="1"/>
    <col min="8" max="8" width="5.69921875" style="1160" customWidth="1"/>
    <col min="9" max="9" width="4.69921875" style="1160" customWidth="1"/>
    <col min="10" max="10" width="12.59765625" style="1171" customWidth="1"/>
    <col min="11" max="11" width="6.69921875" style="1160" customWidth="1"/>
    <col min="12" max="13" width="9.19921875" style="1170" customWidth="1"/>
    <col min="14" max="14" width="6.69921875" style="1170" customWidth="1"/>
    <col min="15" max="17" width="8.19921875" style="1170"/>
    <col min="18" max="19" width="1.69921875" style="1170" customWidth="1"/>
    <col min="20" max="224" width="8.19921875" style="1170"/>
    <col min="225" max="225" width="3.19921875" style="1170" customWidth="1"/>
    <col min="226" max="231" width="11.3984375" style="1170" customWidth="1"/>
    <col min="232" max="232" width="3.19921875" style="1170" customWidth="1"/>
    <col min="233" max="233" width="11.3984375" style="1170" customWidth="1"/>
    <col min="234" max="234" width="9.59765625" style="1170" customWidth="1"/>
    <col min="235" max="480" width="8.19921875" style="1170"/>
    <col min="481" max="481" width="3.19921875" style="1170" customWidth="1"/>
    <col min="482" max="487" width="11.3984375" style="1170" customWidth="1"/>
    <col min="488" max="488" width="3.19921875" style="1170" customWidth="1"/>
    <col min="489" max="489" width="11.3984375" style="1170" customWidth="1"/>
    <col min="490" max="490" width="9.59765625" style="1170" customWidth="1"/>
    <col min="491" max="736" width="8.19921875" style="1170"/>
    <col min="737" max="737" width="3.19921875" style="1170" customWidth="1"/>
    <col min="738" max="743" width="11.3984375" style="1170" customWidth="1"/>
    <col min="744" max="744" width="3.19921875" style="1170" customWidth="1"/>
    <col min="745" max="745" width="11.3984375" style="1170" customWidth="1"/>
    <col min="746" max="746" width="9.59765625" style="1170" customWidth="1"/>
    <col min="747" max="992" width="8.19921875" style="1170"/>
    <col min="993" max="993" width="3.19921875" style="1170" customWidth="1"/>
    <col min="994" max="999" width="11.3984375" style="1170" customWidth="1"/>
    <col min="1000" max="1000" width="3.19921875" style="1170" customWidth="1"/>
    <col min="1001" max="1001" width="11.3984375" style="1170" customWidth="1"/>
    <col min="1002" max="1002" width="9.59765625" style="1170" customWidth="1"/>
    <col min="1003" max="1248" width="8.19921875" style="1170"/>
    <col min="1249" max="1249" width="3.19921875" style="1170" customWidth="1"/>
    <col min="1250" max="1255" width="11.3984375" style="1170" customWidth="1"/>
    <col min="1256" max="1256" width="3.19921875" style="1170" customWidth="1"/>
    <col min="1257" max="1257" width="11.3984375" style="1170" customWidth="1"/>
    <col min="1258" max="1258" width="9.59765625" style="1170" customWidth="1"/>
    <col min="1259" max="1504" width="8.19921875" style="1170"/>
    <col min="1505" max="1505" width="3.19921875" style="1170" customWidth="1"/>
    <col min="1506" max="1511" width="11.3984375" style="1170" customWidth="1"/>
    <col min="1512" max="1512" width="3.19921875" style="1170" customWidth="1"/>
    <col min="1513" max="1513" width="11.3984375" style="1170" customWidth="1"/>
    <col min="1514" max="1514" width="9.59765625" style="1170" customWidth="1"/>
    <col min="1515" max="1760" width="8.19921875" style="1170"/>
    <col min="1761" max="1761" width="3.19921875" style="1170" customWidth="1"/>
    <col min="1762" max="1767" width="11.3984375" style="1170" customWidth="1"/>
    <col min="1768" max="1768" width="3.19921875" style="1170" customWidth="1"/>
    <col min="1769" max="1769" width="11.3984375" style="1170" customWidth="1"/>
    <col min="1770" max="1770" width="9.59765625" style="1170" customWidth="1"/>
    <col min="1771" max="2016" width="8.19921875" style="1170"/>
    <col min="2017" max="2017" width="3.19921875" style="1170" customWidth="1"/>
    <col min="2018" max="2023" width="11.3984375" style="1170" customWidth="1"/>
    <col min="2024" max="2024" width="3.19921875" style="1170" customWidth="1"/>
    <col min="2025" max="2025" width="11.3984375" style="1170" customWidth="1"/>
    <col min="2026" max="2026" width="9.59765625" style="1170" customWidth="1"/>
    <col min="2027" max="2272" width="8.19921875" style="1170"/>
    <col min="2273" max="2273" width="3.19921875" style="1170" customWidth="1"/>
    <col min="2274" max="2279" width="11.3984375" style="1170" customWidth="1"/>
    <col min="2280" max="2280" width="3.19921875" style="1170" customWidth="1"/>
    <col min="2281" max="2281" width="11.3984375" style="1170" customWidth="1"/>
    <col min="2282" max="2282" width="9.59765625" style="1170" customWidth="1"/>
    <col min="2283" max="2528" width="8.19921875" style="1170"/>
    <col min="2529" max="2529" width="3.19921875" style="1170" customWidth="1"/>
    <col min="2530" max="2535" width="11.3984375" style="1170" customWidth="1"/>
    <col min="2536" max="2536" width="3.19921875" style="1170" customWidth="1"/>
    <col min="2537" max="2537" width="11.3984375" style="1170" customWidth="1"/>
    <col min="2538" max="2538" width="9.59765625" style="1170" customWidth="1"/>
    <col min="2539" max="2784" width="8.19921875" style="1170"/>
    <col min="2785" max="2785" width="3.19921875" style="1170" customWidth="1"/>
    <col min="2786" max="2791" width="11.3984375" style="1170" customWidth="1"/>
    <col min="2792" max="2792" width="3.19921875" style="1170" customWidth="1"/>
    <col min="2793" max="2793" width="11.3984375" style="1170" customWidth="1"/>
    <col min="2794" max="2794" width="9.59765625" style="1170" customWidth="1"/>
    <col min="2795" max="3040" width="8.19921875" style="1170"/>
    <col min="3041" max="3041" width="3.19921875" style="1170" customWidth="1"/>
    <col min="3042" max="3047" width="11.3984375" style="1170" customWidth="1"/>
    <col min="3048" max="3048" width="3.19921875" style="1170" customWidth="1"/>
    <col min="3049" max="3049" width="11.3984375" style="1170" customWidth="1"/>
    <col min="3050" max="3050" width="9.59765625" style="1170" customWidth="1"/>
    <col min="3051" max="3296" width="8.19921875" style="1170"/>
    <col min="3297" max="3297" width="3.19921875" style="1170" customWidth="1"/>
    <col min="3298" max="3303" width="11.3984375" style="1170" customWidth="1"/>
    <col min="3304" max="3304" width="3.19921875" style="1170" customWidth="1"/>
    <col min="3305" max="3305" width="11.3984375" style="1170" customWidth="1"/>
    <col min="3306" max="3306" width="9.59765625" style="1170" customWidth="1"/>
    <col min="3307" max="3552" width="8.19921875" style="1170"/>
    <col min="3553" max="3553" width="3.19921875" style="1170" customWidth="1"/>
    <col min="3554" max="3559" width="11.3984375" style="1170" customWidth="1"/>
    <col min="3560" max="3560" width="3.19921875" style="1170" customWidth="1"/>
    <col min="3561" max="3561" width="11.3984375" style="1170" customWidth="1"/>
    <col min="3562" max="3562" width="9.59765625" style="1170" customWidth="1"/>
    <col min="3563" max="3808" width="8.19921875" style="1170"/>
    <col min="3809" max="3809" width="3.19921875" style="1170" customWidth="1"/>
    <col min="3810" max="3815" width="11.3984375" style="1170" customWidth="1"/>
    <col min="3816" max="3816" width="3.19921875" style="1170" customWidth="1"/>
    <col min="3817" max="3817" width="11.3984375" style="1170" customWidth="1"/>
    <col min="3818" max="3818" width="9.59765625" style="1170" customWidth="1"/>
    <col min="3819" max="4064" width="8.19921875" style="1170"/>
    <col min="4065" max="4065" width="3.19921875" style="1170" customWidth="1"/>
    <col min="4066" max="4071" width="11.3984375" style="1170" customWidth="1"/>
    <col min="4072" max="4072" width="3.19921875" style="1170" customWidth="1"/>
    <col min="4073" max="4073" width="11.3984375" style="1170" customWidth="1"/>
    <col min="4074" max="4074" width="9.59765625" style="1170" customWidth="1"/>
    <col min="4075" max="4320" width="8.19921875" style="1170"/>
    <col min="4321" max="4321" width="3.19921875" style="1170" customWidth="1"/>
    <col min="4322" max="4327" width="11.3984375" style="1170" customWidth="1"/>
    <col min="4328" max="4328" width="3.19921875" style="1170" customWidth="1"/>
    <col min="4329" max="4329" width="11.3984375" style="1170" customWidth="1"/>
    <col min="4330" max="4330" width="9.59765625" style="1170" customWidth="1"/>
    <col min="4331" max="4576" width="8.19921875" style="1170"/>
    <col min="4577" max="4577" width="3.19921875" style="1170" customWidth="1"/>
    <col min="4578" max="4583" width="11.3984375" style="1170" customWidth="1"/>
    <col min="4584" max="4584" width="3.19921875" style="1170" customWidth="1"/>
    <col min="4585" max="4585" width="11.3984375" style="1170" customWidth="1"/>
    <col min="4586" max="4586" width="9.59765625" style="1170" customWidth="1"/>
    <col min="4587" max="4832" width="8.19921875" style="1170"/>
    <col min="4833" max="4833" width="3.19921875" style="1170" customWidth="1"/>
    <col min="4834" max="4839" width="11.3984375" style="1170" customWidth="1"/>
    <col min="4840" max="4840" width="3.19921875" style="1170" customWidth="1"/>
    <col min="4841" max="4841" width="11.3984375" style="1170" customWidth="1"/>
    <col min="4842" max="4842" width="9.59765625" style="1170" customWidth="1"/>
    <col min="4843" max="5088" width="8.19921875" style="1170"/>
    <col min="5089" max="5089" width="3.19921875" style="1170" customWidth="1"/>
    <col min="5090" max="5095" width="11.3984375" style="1170" customWidth="1"/>
    <col min="5096" max="5096" width="3.19921875" style="1170" customWidth="1"/>
    <col min="5097" max="5097" width="11.3984375" style="1170" customWidth="1"/>
    <col min="5098" max="5098" width="9.59765625" style="1170" customWidth="1"/>
    <col min="5099" max="5344" width="8.19921875" style="1170"/>
    <col min="5345" max="5345" width="3.19921875" style="1170" customWidth="1"/>
    <col min="5346" max="5351" width="11.3984375" style="1170" customWidth="1"/>
    <col min="5352" max="5352" width="3.19921875" style="1170" customWidth="1"/>
    <col min="5353" max="5353" width="11.3984375" style="1170" customWidth="1"/>
    <col min="5354" max="5354" width="9.59765625" style="1170" customWidth="1"/>
    <col min="5355" max="5600" width="8.19921875" style="1170"/>
    <col min="5601" max="5601" width="3.19921875" style="1170" customWidth="1"/>
    <col min="5602" max="5607" width="11.3984375" style="1170" customWidth="1"/>
    <col min="5608" max="5608" width="3.19921875" style="1170" customWidth="1"/>
    <col min="5609" max="5609" width="11.3984375" style="1170" customWidth="1"/>
    <col min="5610" max="5610" width="9.59765625" style="1170" customWidth="1"/>
    <col min="5611" max="5856" width="8.19921875" style="1170"/>
    <col min="5857" max="5857" width="3.19921875" style="1170" customWidth="1"/>
    <col min="5858" max="5863" width="11.3984375" style="1170" customWidth="1"/>
    <col min="5864" max="5864" width="3.19921875" style="1170" customWidth="1"/>
    <col min="5865" max="5865" width="11.3984375" style="1170" customWidth="1"/>
    <col min="5866" max="5866" width="9.59765625" style="1170" customWidth="1"/>
    <col min="5867" max="6112" width="8.19921875" style="1170"/>
    <col min="6113" max="6113" width="3.19921875" style="1170" customWidth="1"/>
    <col min="6114" max="6119" width="11.3984375" style="1170" customWidth="1"/>
    <col min="6120" max="6120" width="3.19921875" style="1170" customWidth="1"/>
    <col min="6121" max="6121" width="11.3984375" style="1170" customWidth="1"/>
    <col min="6122" max="6122" width="9.59765625" style="1170" customWidth="1"/>
    <col min="6123" max="6368" width="8.19921875" style="1170"/>
    <col min="6369" max="6369" width="3.19921875" style="1170" customWidth="1"/>
    <col min="6370" max="6375" width="11.3984375" style="1170" customWidth="1"/>
    <col min="6376" max="6376" width="3.19921875" style="1170" customWidth="1"/>
    <col min="6377" max="6377" width="11.3984375" style="1170" customWidth="1"/>
    <col min="6378" max="6378" width="9.59765625" style="1170" customWidth="1"/>
    <col min="6379" max="6624" width="8.19921875" style="1170"/>
    <col min="6625" max="6625" width="3.19921875" style="1170" customWidth="1"/>
    <col min="6626" max="6631" width="11.3984375" style="1170" customWidth="1"/>
    <col min="6632" max="6632" width="3.19921875" style="1170" customWidth="1"/>
    <col min="6633" max="6633" width="11.3984375" style="1170" customWidth="1"/>
    <col min="6634" max="6634" width="9.59765625" style="1170" customWidth="1"/>
    <col min="6635" max="6880" width="8.19921875" style="1170"/>
    <col min="6881" max="6881" width="3.19921875" style="1170" customWidth="1"/>
    <col min="6882" max="6887" width="11.3984375" style="1170" customWidth="1"/>
    <col min="6888" max="6888" width="3.19921875" style="1170" customWidth="1"/>
    <col min="6889" max="6889" width="11.3984375" style="1170" customWidth="1"/>
    <col min="6890" max="6890" width="9.59765625" style="1170" customWidth="1"/>
    <col min="6891" max="7136" width="8.19921875" style="1170"/>
    <col min="7137" max="7137" width="3.19921875" style="1170" customWidth="1"/>
    <col min="7138" max="7143" width="11.3984375" style="1170" customWidth="1"/>
    <col min="7144" max="7144" width="3.19921875" style="1170" customWidth="1"/>
    <col min="7145" max="7145" width="11.3984375" style="1170" customWidth="1"/>
    <col min="7146" max="7146" width="9.59765625" style="1170" customWidth="1"/>
    <col min="7147" max="7392" width="8.19921875" style="1170"/>
    <col min="7393" max="7393" width="3.19921875" style="1170" customWidth="1"/>
    <col min="7394" max="7399" width="11.3984375" style="1170" customWidth="1"/>
    <col min="7400" max="7400" width="3.19921875" style="1170" customWidth="1"/>
    <col min="7401" max="7401" width="11.3984375" style="1170" customWidth="1"/>
    <col min="7402" max="7402" width="9.59765625" style="1170" customWidth="1"/>
    <col min="7403" max="7648" width="8.19921875" style="1170"/>
    <col min="7649" max="7649" width="3.19921875" style="1170" customWidth="1"/>
    <col min="7650" max="7655" width="11.3984375" style="1170" customWidth="1"/>
    <col min="7656" max="7656" width="3.19921875" style="1170" customWidth="1"/>
    <col min="7657" max="7657" width="11.3984375" style="1170" customWidth="1"/>
    <col min="7658" max="7658" width="9.59765625" style="1170" customWidth="1"/>
    <col min="7659" max="7904" width="8.19921875" style="1170"/>
    <col min="7905" max="7905" width="3.19921875" style="1170" customWidth="1"/>
    <col min="7906" max="7911" width="11.3984375" style="1170" customWidth="1"/>
    <col min="7912" max="7912" width="3.19921875" style="1170" customWidth="1"/>
    <col min="7913" max="7913" width="11.3984375" style="1170" customWidth="1"/>
    <col min="7914" max="7914" width="9.59765625" style="1170" customWidth="1"/>
    <col min="7915" max="8160" width="8.19921875" style="1170"/>
    <col min="8161" max="8161" width="3.19921875" style="1170" customWidth="1"/>
    <col min="8162" max="8167" width="11.3984375" style="1170" customWidth="1"/>
    <col min="8168" max="8168" width="3.19921875" style="1170" customWidth="1"/>
    <col min="8169" max="8169" width="11.3984375" style="1170" customWidth="1"/>
    <col min="8170" max="8170" width="9.59765625" style="1170" customWidth="1"/>
    <col min="8171" max="8416" width="8.19921875" style="1170"/>
    <col min="8417" max="8417" width="3.19921875" style="1170" customWidth="1"/>
    <col min="8418" max="8423" width="11.3984375" style="1170" customWidth="1"/>
    <col min="8424" max="8424" width="3.19921875" style="1170" customWidth="1"/>
    <col min="8425" max="8425" width="11.3984375" style="1170" customWidth="1"/>
    <col min="8426" max="8426" width="9.59765625" style="1170" customWidth="1"/>
    <col min="8427" max="8672" width="8.19921875" style="1170"/>
    <col min="8673" max="8673" width="3.19921875" style="1170" customWidth="1"/>
    <col min="8674" max="8679" width="11.3984375" style="1170" customWidth="1"/>
    <col min="8680" max="8680" width="3.19921875" style="1170" customWidth="1"/>
    <col min="8681" max="8681" width="11.3984375" style="1170" customWidth="1"/>
    <col min="8682" max="8682" width="9.59765625" style="1170" customWidth="1"/>
    <col min="8683" max="8928" width="8.19921875" style="1170"/>
    <col min="8929" max="8929" width="3.19921875" style="1170" customWidth="1"/>
    <col min="8930" max="8935" width="11.3984375" style="1170" customWidth="1"/>
    <col min="8936" max="8936" width="3.19921875" style="1170" customWidth="1"/>
    <col min="8937" max="8937" width="11.3984375" style="1170" customWidth="1"/>
    <col min="8938" max="8938" width="9.59765625" style="1170" customWidth="1"/>
    <col min="8939" max="9184" width="8.19921875" style="1170"/>
    <col min="9185" max="9185" width="3.19921875" style="1170" customWidth="1"/>
    <col min="9186" max="9191" width="11.3984375" style="1170" customWidth="1"/>
    <col min="9192" max="9192" width="3.19921875" style="1170" customWidth="1"/>
    <col min="9193" max="9193" width="11.3984375" style="1170" customWidth="1"/>
    <col min="9194" max="9194" width="9.59765625" style="1170" customWidth="1"/>
    <col min="9195" max="9440" width="8.19921875" style="1170"/>
    <col min="9441" max="9441" width="3.19921875" style="1170" customWidth="1"/>
    <col min="9442" max="9447" width="11.3984375" style="1170" customWidth="1"/>
    <col min="9448" max="9448" width="3.19921875" style="1170" customWidth="1"/>
    <col min="9449" max="9449" width="11.3984375" style="1170" customWidth="1"/>
    <col min="9450" max="9450" width="9.59765625" style="1170" customWidth="1"/>
    <col min="9451" max="9696" width="8.19921875" style="1170"/>
    <col min="9697" max="9697" width="3.19921875" style="1170" customWidth="1"/>
    <col min="9698" max="9703" width="11.3984375" style="1170" customWidth="1"/>
    <col min="9704" max="9704" width="3.19921875" style="1170" customWidth="1"/>
    <col min="9705" max="9705" width="11.3984375" style="1170" customWidth="1"/>
    <col min="9706" max="9706" width="9.59765625" style="1170" customWidth="1"/>
    <col min="9707" max="9952" width="8.19921875" style="1170"/>
    <col min="9953" max="9953" width="3.19921875" style="1170" customWidth="1"/>
    <col min="9954" max="9959" width="11.3984375" style="1170" customWidth="1"/>
    <col min="9960" max="9960" width="3.19921875" style="1170" customWidth="1"/>
    <col min="9961" max="9961" width="11.3984375" style="1170" customWidth="1"/>
    <col min="9962" max="9962" width="9.59765625" style="1170" customWidth="1"/>
    <col min="9963" max="10208" width="8.19921875" style="1170"/>
    <col min="10209" max="10209" width="3.19921875" style="1170" customWidth="1"/>
    <col min="10210" max="10215" width="11.3984375" style="1170" customWidth="1"/>
    <col min="10216" max="10216" width="3.19921875" style="1170" customWidth="1"/>
    <col min="10217" max="10217" width="11.3984375" style="1170" customWidth="1"/>
    <col min="10218" max="10218" width="9.59765625" style="1170" customWidth="1"/>
    <col min="10219" max="10464" width="8.19921875" style="1170"/>
    <col min="10465" max="10465" width="3.19921875" style="1170" customWidth="1"/>
    <col min="10466" max="10471" width="11.3984375" style="1170" customWidth="1"/>
    <col min="10472" max="10472" width="3.19921875" style="1170" customWidth="1"/>
    <col min="10473" max="10473" width="11.3984375" style="1170" customWidth="1"/>
    <col min="10474" max="10474" width="9.59765625" style="1170" customWidth="1"/>
    <col min="10475" max="10720" width="8.19921875" style="1170"/>
    <col min="10721" max="10721" width="3.19921875" style="1170" customWidth="1"/>
    <col min="10722" max="10727" width="11.3984375" style="1170" customWidth="1"/>
    <col min="10728" max="10728" width="3.19921875" style="1170" customWidth="1"/>
    <col min="10729" max="10729" width="11.3984375" style="1170" customWidth="1"/>
    <col min="10730" max="10730" width="9.59765625" style="1170" customWidth="1"/>
    <col min="10731" max="10976" width="8.19921875" style="1170"/>
    <col min="10977" max="10977" width="3.19921875" style="1170" customWidth="1"/>
    <col min="10978" max="10983" width="11.3984375" style="1170" customWidth="1"/>
    <col min="10984" max="10984" width="3.19921875" style="1170" customWidth="1"/>
    <col min="10985" max="10985" width="11.3984375" style="1170" customWidth="1"/>
    <col min="10986" max="10986" width="9.59765625" style="1170" customWidth="1"/>
    <col min="10987" max="11232" width="8.19921875" style="1170"/>
    <col min="11233" max="11233" width="3.19921875" style="1170" customWidth="1"/>
    <col min="11234" max="11239" width="11.3984375" style="1170" customWidth="1"/>
    <col min="11240" max="11240" width="3.19921875" style="1170" customWidth="1"/>
    <col min="11241" max="11241" width="11.3984375" style="1170" customWidth="1"/>
    <col min="11242" max="11242" width="9.59765625" style="1170" customWidth="1"/>
    <col min="11243" max="11488" width="8.19921875" style="1170"/>
    <col min="11489" max="11489" width="3.19921875" style="1170" customWidth="1"/>
    <col min="11490" max="11495" width="11.3984375" style="1170" customWidth="1"/>
    <col min="11496" max="11496" width="3.19921875" style="1170" customWidth="1"/>
    <col min="11497" max="11497" width="11.3984375" style="1170" customWidth="1"/>
    <col min="11498" max="11498" width="9.59765625" style="1170" customWidth="1"/>
    <col min="11499" max="11744" width="8.19921875" style="1170"/>
    <col min="11745" max="11745" width="3.19921875" style="1170" customWidth="1"/>
    <col min="11746" max="11751" width="11.3984375" style="1170" customWidth="1"/>
    <col min="11752" max="11752" width="3.19921875" style="1170" customWidth="1"/>
    <col min="11753" max="11753" width="11.3984375" style="1170" customWidth="1"/>
    <col min="11754" max="11754" width="9.59765625" style="1170" customWidth="1"/>
    <col min="11755" max="12000" width="8.19921875" style="1170"/>
    <col min="12001" max="12001" width="3.19921875" style="1170" customWidth="1"/>
    <col min="12002" max="12007" width="11.3984375" style="1170" customWidth="1"/>
    <col min="12008" max="12008" width="3.19921875" style="1170" customWidth="1"/>
    <col min="12009" max="12009" width="11.3984375" style="1170" customWidth="1"/>
    <col min="12010" max="12010" width="9.59765625" style="1170" customWidth="1"/>
    <col min="12011" max="12256" width="8.19921875" style="1170"/>
    <col min="12257" max="12257" width="3.19921875" style="1170" customWidth="1"/>
    <col min="12258" max="12263" width="11.3984375" style="1170" customWidth="1"/>
    <col min="12264" max="12264" width="3.19921875" style="1170" customWidth="1"/>
    <col min="12265" max="12265" width="11.3984375" style="1170" customWidth="1"/>
    <col min="12266" max="12266" width="9.59765625" style="1170" customWidth="1"/>
    <col min="12267" max="12512" width="8.19921875" style="1170"/>
    <col min="12513" max="12513" width="3.19921875" style="1170" customWidth="1"/>
    <col min="12514" max="12519" width="11.3984375" style="1170" customWidth="1"/>
    <col min="12520" max="12520" width="3.19921875" style="1170" customWidth="1"/>
    <col min="12521" max="12521" width="11.3984375" style="1170" customWidth="1"/>
    <col min="12522" max="12522" width="9.59765625" style="1170" customWidth="1"/>
    <col min="12523" max="12768" width="8.19921875" style="1170"/>
    <col min="12769" max="12769" width="3.19921875" style="1170" customWidth="1"/>
    <col min="12770" max="12775" width="11.3984375" style="1170" customWidth="1"/>
    <col min="12776" max="12776" width="3.19921875" style="1170" customWidth="1"/>
    <col min="12777" max="12777" width="11.3984375" style="1170" customWidth="1"/>
    <col min="12778" max="12778" width="9.59765625" style="1170" customWidth="1"/>
    <col min="12779" max="13024" width="8.19921875" style="1170"/>
    <col min="13025" max="13025" width="3.19921875" style="1170" customWidth="1"/>
    <col min="13026" max="13031" width="11.3984375" style="1170" customWidth="1"/>
    <col min="13032" max="13032" width="3.19921875" style="1170" customWidth="1"/>
    <col min="13033" max="13033" width="11.3984375" style="1170" customWidth="1"/>
    <col min="13034" max="13034" width="9.59765625" style="1170" customWidth="1"/>
    <col min="13035" max="13280" width="8.19921875" style="1170"/>
    <col min="13281" max="13281" width="3.19921875" style="1170" customWidth="1"/>
    <col min="13282" max="13287" width="11.3984375" style="1170" customWidth="1"/>
    <col min="13288" max="13288" width="3.19921875" style="1170" customWidth="1"/>
    <col min="13289" max="13289" width="11.3984375" style="1170" customWidth="1"/>
    <col min="13290" max="13290" width="9.59765625" style="1170" customWidth="1"/>
    <col min="13291" max="13536" width="8.19921875" style="1170"/>
    <col min="13537" max="13537" width="3.19921875" style="1170" customWidth="1"/>
    <col min="13538" max="13543" width="11.3984375" style="1170" customWidth="1"/>
    <col min="13544" max="13544" width="3.19921875" style="1170" customWidth="1"/>
    <col min="13545" max="13545" width="11.3984375" style="1170" customWidth="1"/>
    <col min="13546" max="13546" width="9.59765625" style="1170" customWidth="1"/>
    <col min="13547" max="13792" width="8.19921875" style="1170"/>
    <col min="13793" max="13793" width="3.19921875" style="1170" customWidth="1"/>
    <col min="13794" max="13799" width="11.3984375" style="1170" customWidth="1"/>
    <col min="13800" max="13800" width="3.19921875" style="1170" customWidth="1"/>
    <col min="13801" max="13801" width="11.3984375" style="1170" customWidth="1"/>
    <col min="13802" max="13802" width="9.59765625" style="1170" customWidth="1"/>
    <col min="13803" max="14048" width="8.19921875" style="1170"/>
    <col min="14049" max="14049" width="3.19921875" style="1170" customWidth="1"/>
    <col min="14050" max="14055" width="11.3984375" style="1170" customWidth="1"/>
    <col min="14056" max="14056" width="3.19921875" style="1170" customWidth="1"/>
    <col min="14057" max="14057" width="11.3984375" style="1170" customWidth="1"/>
    <col min="14058" max="14058" width="9.59765625" style="1170" customWidth="1"/>
    <col min="14059" max="14304" width="8.19921875" style="1170"/>
    <col min="14305" max="14305" width="3.19921875" style="1170" customWidth="1"/>
    <col min="14306" max="14311" width="11.3984375" style="1170" customWidth="1"/>
    <col min="14312" max="14312" width="3.19921875" style="1170" customWidth="1"/>
    <col min="14313" max="14313" width="11.3984375" style="1170" customWidth="1"/>
    <col min="14314" max="14314" width="9.59765625" style="1170" customWidth="1"/>
    <col min="14315" max="14560" width="8.19921875" style="1170"/>
    <col min="14561" max="14561" width="3.19921875" style="1170" customWidth="1"/>
    <col min="14562" max="14567" width="11.3984375" style="1170" customWidth="1"/>
    <col min="14568" max="14568" width="3.19921875" style="1170" customWidth="1"/>
    <col min="14569" max="14569" width="11.3984375" style="1170" customWidth="1"/>
    <col min="14570" max="14570" width="9.59765625" style="1170" customWidth="1"/>
    <col min="14571" max="14816" width="8.19921875" style="1170"/>
    <col min="14817" max="14817" width="3.19921875" style="1170" customWidth="1"/>
    <col min="14818" max="14823" width="11.3984375" style="1170" customWidth="1"/>
    <col min="14824" max="14824" width="3.19921875" style="1170" customWidth="1"/>
    <col min="14825" max="14825" width="11.3984375" style="1170" customWidth="1"/>
    <col min="14826" max="14826" width="9.59765625" style="1170" customWidth="1"/>
    <col min="14827" max="15072" width="8.19921875" style="1170"/>
    <col min="15073" max="15073" width="3.19921875" style="1170" customWidth="1"/>
    <col min="15074" max="15079" width="11.3984375" style="1170" customWidth="1"/>
    <col min="15080" max="15080" width="3.19921875" style="1170" customWidth="1"/>
    <col min="15081" max="15081" width="11.3984375" style="1170" customWidth="1"/>
    <col min="15082" max="15082" width="9.59765625" style="1170" customWidth="1"/>
    <col min="15083" max="15328" width="8.19921875" style="1170"/>
    <col min="15329" max="15329" width="3.19921875" style="1170" customWidth="1"/>
    <col min="15330" max="15335" width="11.3984375" style="1170" customWidth="1"/>
    <col min="15336" max="15336" width="3.19921875" style="1170" customWidth="1"/>
    <col min="15337" max="15337" width="11.3984375" style="1170" customWidth="1"/>
    <col min="15338" max="15338" width="9.59765625" style="1170" customWidth="1"/>
    <col min="15339" max="15584" width="8.19921875" style="1170"/>
    <col min="15585" max="15585" width="3.19921875" style="1170" customWidth="1"/>
    <col min="15586" max="15591" width="11.3984375" style="1170" customWidth="1"/>
    <col min="15592" max="15592" width="3.19921875" style="1170" customWidth="1"/>
    <col min="15593" max="15593" width="11.3984375" style="1170" customWidth="1"/>
    <col min="15594" max="15594" width="9.59765625" style="1170" customWidth="1"/>
    <col min="15595" max="15840" width="8.19921875" style="1170"/>
    <col min="15841" max="15841" width="3.19921875" style="1170" customWidth="1"/>
    <col min="15842" max="15847" width="11.3984375" style="1170" customWidth="1"/>
    <col min="15848" max="15848" width="3.19921875" style="1170" customWidth="1"/>
    <col min="15849" max="15849" width="11.3984375" style="1170" customWidth="1"/>
    <col min="15850" max="15850" width="9.59765625" style="1170" customWidth="1"/>
    <col min="15851" max="16096" width="8.19921875" style="1170"/>
    <col min="16097" max="16097" width="3.19921875" style="1170" customWidth="1"/>
    <col min="16098" max="16103" width="11.3984375" style="1170" customWidth="1"/>
    <col min="16104" max="16104" width="3.19921875" style="1170" customWidth="1"/>
    <col min="16105" max="16105" width="11.3984375" style="1170" customWidth="1"/>
    <col min="16106" max="16106" width="9.59765625" style="1170" customWidth="1"/>
    <col min="16107" max="16384" width="8.19921875" style="1170"/>
  </cols>
  <sheetData>
    <row r="1" spans="2:21" ht="15" customHeight="1">
      <c r="C1" s="1161" t="s">
        <v>507</v>
      </c>
      <c r="D1" s="1162"/>
      <c r="E1" s="1162"/>
      <c r="F1" s="1162"/>
      <c r="G1" s="1163"/>
      <c r="H1" s="1164" t="s">
        <v>508</v>
      </c>
      <c r="I1" s="1165" t="s">
        <v>509</v>
      </c>
      <c r="J1" s="1166">
        <f>-1.0214165 * 10^4</f>
        <v>-10214.164999999999</v>
      </c>
      <c r="K1" s="1167" t="s">
        <v>510</v>
      </c>
      <c r="L1" s="1168" t="s">
        <v>511</v>
      </c>
      <c r="M1" s="1168"/>
      <c r="N1" s="1169">
        <v>78</v>
      </c>
      <c r="O1" s="1168"/>
      <c r="P1" s="1168"/>
      <c r="Q1" s="1168"/>
      <c r="R1" s="1168"/>
      <c r="S1" s="1168"/>
      <c r="T1" s="1168"/>
      <c r="U1" s="1168"/>
    </row>
    <row r="2" spans="2:21" ht="15" customHeight="1" thickBot="1">
      <c r="G2" s="1163"/>
      <c r="H2" s="1172" t="s">
        <v>512</v>
      </c>
      <c r="I2" s="1173" t="s">
        <v>513</v>
      </c>
      <c r="J2" s="1174">
        <f>-4.8932428 * 10^0</f>
        <v>-4.8932428000000003</v>
      </c>
      <c r="K2" s="1167" t="s">
        <v>514</v>
      </c>
      <c r="L2" s="1168" t="s">
        <v>515</v>
      </c>
      <c r="M2" s="1168"/>
      <c r="N2" s="1175">
        <v>63.5</v>
      </c>
      <c r="O2" s="1168"/>
      <c r="P2" s="1168"/>
      <c r="Q2" s="1168"/>
      <c r="R2" s="1168"/>
      <c r="S2" s="1168"/>
      <c r="T2" s="1168"/>
      <c r="U2" s="1168"/>
    </row>
    <row r="3" spans="2:21" ht="15" customHeight="1">
      <c r="B3" s="1176" t="s">
        <v>516</v>
      </c>
      <c r="C3" s="1177" t="s">
        <v>517</v>
      </c>
      <c r="D3" s="1177"/>
      <c r="E3" s="1178"/>
      <c r="F3" s="1179">
        <v>0</v>
      </c>
      <c r="G3" s="1163"/>
      <c r="H3" s="1172"/>
      <c r="I3" s="1173" t="s">
        <v>518</v>
      </c>
      <c r="J3" s="1174">
        <f>-5.3765794 * 10^-3</f>
        <v>-5.3765793999999995E-3</v>
      </c>
      <c r="K3" s="1167" t="s">
        <v>155</v>
      </c>
      <c r="L3" s="1180" t="s">
        <v>519</v>
      </c>
      <c r="M3" s="1168"/>
      <c r="N3" s="1181">
        <v>0</v>
      </c>
      <c r="O3" s="1168"/>
      <c r="P3" s="1168"/>
      <c r="Q3" s="1168"/>
      <c r="R3" s="1168"/>
      <c r="S3" s="1168"/>
      <c r="T3" s="1168"/>
      <c r="U3" s="1168"/>
    </row>
    <row r="4" spans="2:21" ht="15" customHeight="1">
      <c r="B4" s="1182" t="s">
        <v>520</v>
      </c>
      <c r="C4" s="1183" t="s">
        <v>521</v>
      </c>
      <c r="D4" s="1183"/>
      <c r="E4" s="1183"/>
      <c r="F4" s="1184">
        <v>29.92</v>
      </c>
      <c r="G4" s="1163"/>
      <c r="H4" s="1172"/>
      <c r="I4" s="1173" t="s">
        <v>522</v>
      </c>
      <c r="J4" s="1174">
        <f xml:space="preserve"> 1.9202377 * 10^-7</f>
        <v>1.9202376999999999E-7</v>
      </c>
      <c r="K4" s="1167" t="s">
        <v>523</v>
      </c>
      <c r="L4" s="1185" t="s">
        <v>524</v>
      </c>
      <c r="M4" s="1168"/>
      <c r="N4" s="1186">
        <f>29.92*(1-(6.8753*10^-6)*N3)^5.2559</f>
        <v>29.92</v>
      </c>
      <c r="O4" s="1168" t="s">
        <v>525</v>
      </c>
      <c r="P4" s="1168"/>
      <c r="Q4" s="1168"/>
      <c r="R4" s="1168"/>
      <c r="S4" s="1168"/>
      <c r="T4" s="1168"/>
      <c r="U4" s="1168"/>
    </row>
    <row r="5" spans="2:21" ht="15" customHeight="1" thickBot="1">
      <c r="B5" s="1187" t="s">
        <v>526</v>
      </c>
      <c r="C5" s="1188" t="s">
        <v>527</v>
      </c>
      <c r="D5" s="1189"/>
      <c r="E5" s="1189"/>
      <c r="F5" s="1190">
        <v>68</v>
      </c>
      <c r="G5" s="1163"/>
      <c r="H5" s="1172"/>
      <c r="I5" s="1173" t="s">
        <v>528</v>
      </c>
      <c r="J5" s="1174">
        <f xml:space="preserve"> 3.5575832 * 10^-10</f>
        <v>3.5575831999999998E-10</v>
      </c>
      <c r="K5" s="1167" t="s">
        <v>53</v>
      </c>
      <c r="L5" s="1185" t="s">
        <v>529</v>
      </c>
      <c r="M5" s="1168"/>
      <c r="N5" s="1191">
        <f>N15*2.041772658</f>
        <v>0.97004802159405557</v>
      </c>
      <c r="O5" s="1168" t="s">
        <v>530</v>
      </c>
      <c r="P5" s="1168"/>
      <c r="Q5" s="1168"/>
      <c r="R5" s="1168"/>
      <c r="S5" s="1168"/>
      <c r="T5" s="1168"/>
      <c r="U5" s="1168"/>
    </row>
    <row r="6" spans="2:21" ht="15" customHeight="1">
      <c r="B6" s="1192" t="s">
        <v>155</v>
      </c>
      <c r="C6" s="1193" t="s">
        <v>531</v>
      </c>
      <c r="D6" s="1194"/>
      <c r="E6" s="1195"/>
      <c r="F6" s="1196">
        <v>1000</v>
      </c>
      <c r="G6" s="1163"/>
      <c r="H6" s="1172"/>
      <c r="I6" s="1173" t="s">
        <v>532</v>
      </c>
      <c r="J6" s="1174">
        <f xml:space="preserve"> -9.0344688 * 10^-14</f>
        <v>-9.0344688000000011E-14</v>
      </c>
      <c r="K6" s="1167" t="s">
        <v>533</v>
      </c>
      <c r="L6" s="1185" t="s">
        <v>534</v>
      </c>
      <c r="M6" s="1168"/>
      <c r="N6" s="1197">
        <f>N4/2.041772658</f>
        <v>14.653933131472073</v>
      </c>
      <c r="O6" s="1168" t="s">
        <v>535</v>
      </c>
      <c r="P6" s="1168"/>
      <c r="Q6" s="1168"/>
      <c r="R6" s="1168"/>
      <c r="S6" s="1168"/>
      <c r="T6" s="1168"/>
      <c r="U6" s="1168"/>
    </row>
    <row r="7" spans="2:21" ht="15" customHeight="1">
      <c r="B7" s="1198" t="s">
        <v>536</v>
      </c>
      <c r="C7" s="1199" t="s">
        <v>537</v>
      </c>
      <c r="D7" s="1200"/>
      <c r="E7" s="1201"/>
      <c r="F7" s="1202">
        <f>F4*(1-(6.8753*10^-6)*F6)^5.2559</f>
        <v>28.854514686158218</v>
      </c>
      <c r="G7" s="1163"/>
      <c r="H7" s="1203"/>
      <c r="I7" s="1204" t="s">
        <v>538</v>
      </c>
      <c r="J7" s="1205">
        <f xml:space="preserve"> 4.1635019 * 10^0</f>
        <v>4.1635019</v>
      </c>
      <c r="K7" s="1167" t="s">
        <v>539</v>
      </c>
      <c r="L7" s="1206" t="s">
        <v>540</v>
      </c>
      <c r="M7" s="1168"/>
      <c r="N7" s="1207">
        <f>(N4*N13)/(0.62198+N13)</f>
        <v>0.43686072603424952</v>
      </c>
      <c r="O7" s="1168" t="s">
        <v>541</v>
      </c>
      <c r="P7" s="1168"/>
      <c r="Q7" s="1168"/>
      <c r="R7" s="1168"/>
      <c r="S7" s="1168"/>
      <c r="T7" s="1168"/>
      <c r="U7" s="1168"/>
    </row>
    <row r="8" spans="2:21" ht="15" customHeight="1">
      <c r="B8" s="1208" t="s">
        <v>510</v>
      </c>
      <c r="C8" s="1209" t="s">
        <v>511</v>
      </c>
      <c r="D8" s="1210"/>
      <c r="E8" s="1211"/>
      <c r="F8" s="1212">
        <v>95</v>
      </c>
      <c r="G8" s="1163"/>
      <c r="H8" s="1164" t="s">
        <v>508</v>
      </c>
      <c r="I8" s="1165" t="s">
        <v>542</v>
      </c>
      <c r="J8" s="1166">
        <f xml:space="preserve"> -1.0440397 * 10^4</f>
        <v>-10440.396999999999</v>
      </c>
      <c r="K8" s="1213" t="s">
        <v>543</v>
      </c>
      <c r="L8" s="1168" t="s">
        <v>544</v>
      </c>
      <c r="M8" s="1168"/>
      <c r="N8" s="1214">
        <f>N2+459.67</f>
        <v>523.17000000000007</v>
      </c>
      <c r="O8" s="1168" t="s">
        <v>545</v>
      </c>
      <c r="P8" s="1168"/>
      <c r="Q8" s="1168"/>
      <c r="R8" s="1168"/>
      <c r="S8" s="1168"/>
      <c r="T8" s="1168"/>
      <c r="U8" s="1168"/>
    </row>
    <row r="9" spans="2:21" ht="15" customHeight="1">
      <c r="B9" s="1215" t="s">
        <v>546</v>
      </c>
      <c r="C9" s="1216" t="s">
        <v>515</v>
      </c>
      <c r="D9" s="1217"/>
      <c r="E9" s="1218"/>
      <c r="F9" s="1219">
        <v>75</v>
      </c>
      <c r="G9" s="1163"/>
      <c r="H9" s="1172" t="s">
        <v>547</v>
      </c>
      <c r="I9" s="1173" t="s">
        <v>548</v>
      </c>
      <c r="J9" s="1174">
        <f xml:space="preserve"> -1.129465 * 10^1</f>
        <v>-11.294649999999999</v>
      </c>
      <c r="K9" s="1213" t="s">
        <v>549</v>
      </c>
      <c r="L9" s="1168" t="s">
        <v>550</v>
      </c>
      <c r="M9" s="1168"/>
      <c r="N9" s="1220">
        <f xml:space="preserve"> EXP((-10440.397/N8)+(-11.29465) + (-0.027022355*N8) + (0.00001289036*N8*N8) + (-0.0000000024780681*N8^3)+(6.5459673*LN(N8)))</f>
        <v>0.29011100478567919</v>
      </c>
      <c r="O9" s="1168" t="s">
        <v>551</v>
      </c>
      <c r="P9" s="1168"/>
      <c r="Q9" s="1168"/>
      <c r="R9" s="1168"/>
      <c r="S9" s="1168"/>
      <c r="T9" s="1168"/>
      <c r="U9" s="1168"/>
    </row>
    <row r="10" spans="2:21" ht="15" customHeight="1">
      <c r="B10" s="1221" t="s">
        <v>533</v>
      </c>
      <c r="C10" s="1222" t="s">
        <v>552</v>
      </c>
      <c r="D10" s="1223"/>
      <c r="E10" s="1223"/>
      <c r="F10" s="1224">
        <f>F4/2.041772658</f>
        <v>14.653933131472073</v>
      </c>
      <c r="G10" s="1163"/>
      <c r="H10" s="1172"/>
      <c r="I10" s="1173" t="s">
        <v>553</v>
      </c>
      <c r="J10" s="1174">
        <f xml:space="preserve"> -2.7022355 * 10^-2</f>
        <v>-2.7022355000000001E-2</v>
      </c>
      <c r="O10" s="1170" t="s">
        <v>554</v>
      </c>
      <c r="R10" s="1168"/>
      <c r="S10" s="1168"/>
      <c r="T10" s="1168"/>
      <c r="U10" s="1168"/>
    </row>
    <row r="11" spans="2:21" ht="15" customHeight="1">
      <c r="B11" s="1172" t="s">
        <v>53</v>
      </c>
      <c r="C11" s="1225" t="s">
        <v>529</v>
      </c>
      <c r="D11" s="1226"/>
      <c r="E11" s="1226"/>
      <c r="F11" s="1227">
        <f>F18*2.041772658</f>
        <v>1.66658844962729</v>
      </c>
      <c r="G11" s="1163"/>
      <c r="H11" s="1172"/>
      <c r="I11" s="1173" t="s">
        <v>555</v>
      </c>
      <c r="J11" s="1174">
        <f xml:space="preserve"> 1.289036 * 10^-5</f>
        <v>1.2890360000000002E-5</v>
      </c>
      <c r="K11" s="1213" t="s">
        <v>556</v>
      </c>
      <c r="L11" s="1168" t="s">
        <v>557</v>
      </c>
      <c r="M11" s="1168"/>
      <c r="N11" s="1228">
        <f>0.62198*(N9/(N6-N9))</f>
        <v>1.2562341775407614E-2</v>
      </c>
      <c r="O11" s="1168" t="s">
        <v>558</v>
      </c>
      <c r="P11" s="1168"/>
      <c r="Q11" s="1168"/>
      <c r="R11" s="1168"/>
      <c r="S11" s="1168"/>
      <c r="T11" s="1168"/>
      <c r="U11" s="1168"/>
    </row>
    <row r="12" spans="2:21" ht="15" customHeight="1">
      <c r="B12" s="1203" t="s">
        <v>539</v>
      </c>
      <c r="C12" s="1206" t="s">
        <v>540</v>
      </c>
      <c r="D12" s="1229"/>
      <c r="E12" s="1229"/>
      <c r="F12" s="1230">
        <f>(F4*F17)/(0.62198+F17)</f>
        <v>0.66421328299373228</v>
      </c>
      <c r="G12" s="1163"/>
      <c r="H12" s="1172"/>
      <c r="I12" s="1173" t="s">
        <v>559</v>
      </c>
      <c r="J12" s="1174">
        <f xml:space="preserve"> -2.4780681 * 10^-9</f>
        <v>-2.4780681000000005E-9</v>
      </c>
      <c r="K12" s="1213" t="s">
        <v>560</v>
      </c>
      <c r="L12" s="1168" t="s">
        <v>544</v>
      </c>
      <c r="M12" s="1168"/>
      <c r="N12" s="1214">
        <f>N1+459.67</f>
        <v>537.67000000000007</v>
      </c>
      <c r="O12" s="1168" t="s">
        <v>561</v>
      </c>
      <c r="P12" s="1168"/>
      <c r="Q12" s="1168"/>
      <c r="R12" s="1168"/>
      <c r="S12" s="1168"/>
      <c r="T12" s="1168"/>
      <c r="U12" s="1168"/>
    </row>
    <row r="13" spans="2:21" ht="15" customHeight="1">
      <c r="B13" s="1231" t="s">
        <v>543</v>
      </c>
      <c r="C13" s="1232" t="s">
        <v>562</v>
      </c>
      <c r="D13" s="1233"/>
      <c r="E13" s="1233"/>
      <c r="F13" s="1234">
        <f>F9+459.67</f>
        <v>534.67000000000007</v>
      </c>
      <c r="G13" s="1163"/>
      <c r="H13" s="1235"/>
      <c r="I13" s="1236" t="s">
        <v>563</v>
      </c>
      <c r="J13" s="1237">
        <f xml:space="preserve"> 6.5459673 * 10^0</f>
        <v>6.5459673</v>
      </c>
      <c r="K13" s="1167" t="s">
        <v>40</v>
      </c>
      <c r="L13" s="1168" t="s">
        <v>564</v>
      </c>
      <c r="M13" s="1168"/>
      <c r="N13" s="1220">
        <f>((1093-0.556*N2)*N11 - 0.24*(N1-N2))/(1093 + 0.444*N1 -N2)</f>
        <v>9.2160686097194511E-3</v>
      </c>
      <c r="O13" s="1168" t="s">
        <v>565</v>
      </c>
      <c r="P13" s="1168"/>
      <c r="Q13" s="1168"/>
      <c r="R13" s="1168"/>
      <c r="S13" s="1168"/>
      <c r="T13" s="1168"/>
      <c r="U13" s="1168"/>
    </row>
    <row r="14" spans="2:21" ht="15" customHeight="1">
      <c r="B14" s="1238" t="s">
        <v>549</v>
      </c>
      <c r="C14" s="1209" t="s">
        <v>550</v>
      </c>
      <c r="D14" s="1239"/>
      <c r="E14" s="1239"/>
      <c r="F14" s="1240">
        <f xml:space="preserve"> EXP((-10440.397/F13)+(-11.29465) + (-0.027022355*F13) + (0.00001289036*F13*F13) + (-0.0000000024780681*F13^3)+(6.5459673*LN(F13)))</f>
        <v>0.43007453554805986</v>
      </c>
      <c r="G14" s="1163"/>
      <c r="H14" s="1221" t="s">
        <v>508</v>
      </c>
      <c r="I14" s="1241" t="s">
        <v>566</v>
      </c>
      <c r="J14" s="1242">
        <v>100.45</v>
      </c>
      <c r="O14" s="1170" t="s">
        <v>567</v>
      </c>
      <c r="R14" s="1168"/>
      <c r="S14" s="1168"/>
      <c r="T14" s="1168"/>
      <c r="U14" s="1168"/>
    </row>
    <row r="15" spans="2:21" ht="15" customHeight="1">
      <c r="B15" s="1243" t="s">
        <v>556</v>
      </c>
      <c r="C15" s="1216" t="s">
        <v>557</v>
      </c>
      <c r="D15" s="1244"/>
      <c r="E15" s="1244"/>
      <c r="F15" s="1245">
        <f>0.62198*(F14/(F10-F14))</f>
        <v>1.880627242011787E-2</v>
      </c>
      <c r="G15" s="1163"/>
      <c r="H15" s="1172" t="s">
        <v>547</v>
      </c>
      <c r="I15" s="1173" t="s">
        <v>568</v>
      </c>
      <c r="J15" s="1239">
        <v>33.192999999999998</v>
      </c>
      <c r="K15" s="1167" t="s">
        <v>569</v>
      </c>
      <c r="L15" s="1168" t="s">
        <v>550</v>
      </c>
      <c r="M15" s="1168"/>
      <c r="N15" s="1220">
        <f xml:space="preserve"> EXP((-10440.397/N12)+(-11.29465) + (-0.027022355*N12) + (0.00001289036*N12*N12) + (-0.0000000024780681*N12^3)+(6.5459673*LN(N12)))</f>
        <v>0.47510089715093806</v>
      </c>
      <c r="O15" s="1168" t="s">
        <v>570</v>
      </c>
      <c r="P15" s="1168"/>
      <c r="Q15" s="1168"/>
      <c r="R15" s="1168"/>
      <c r="S15" s="1168"/>
      <c r="T15" s="1168"/>
      <c r="U15" s="1168"/>
    </row>
    <row r="16" spans="2:21" ht="15" customHeight="1">
      <c r="B16" s="1246" t="s">
        <v>560</v>
      </c>
      <c r="C16" s="1247" t="s">
        <v>571</v>
      </c>
      <c r="D16" s="1242"/>
      <c r="E16" s="1242"/>
      <c r="F16" s="1248">
        <f>F8+459.67</f>
        <v>554.67000000000007</v>
      </c>
      <c r="G16" s="1163"/>
      <c r="H16" s="1172"/>
      <c r="I16" s="1173" t="s">
        <v>572</v>
      </c>
      <c r="J16" s="1239">
        <v>2.319</v>
      </c>
      <c r="O16" s="1170" t="s">
        <v>573</v>
      </c>
      <c r="R16" s="1168"/>
      <c r="S16" s="1168"/>
      <c r="T16" s="1168"/>
      <c r="U16" s="1168"/>
    </row>
    <row r="17" spans="2:21" ht="15" customHeight="1">
      <c r="B17" s="1172" t="s">
        <v>40</v>
      </c>
      <c r="C17" s="1209" t="s">
        <v>564</v>
      </c>
      <c r="D17" s="1239"/>
      <c r="E17" s="1239"/>
      <c r="F17" s="1240">
        <f>((1093-0.556*F9)*F15 - 0.24*(F8-F9))/(1093 + 0.444*F8 -F9)</f>
        <v>1.4121219222462143E-2</v>
      </c>
      <c r="G17" s="1163"/>
      <c r="H17" s="1172"/>
      <c r="I17" s="1173" t="s">
        <v>574</v>
      </c>
      <c r="J17" s="1239">
        <v>0.17074</v>
      </c>
      <c r="K17" s="1167" t="s">
        <v>575</v>
      </c>
      <c r="L17" s="1168" t="s">
        <v>557</v>
      </c>
      <c r="M17" s="1168"/>
      <c r="N17" s="1220">
        <f>0.62198*(N15/(N6-N15))</f>
        <v>2.0841156106964038E-2</v>
      </c>
      <c r="O17" s="1168" t="s">
        <v>576</v>
      </c>
      <c r="P17" s="1168"/>
      <c r="Q17" s="1168"/>
      <c r="R17" s="1168"/>
      <c r="S17" s="1168"/>
      <c r="T17" s="1168"/>
      <c r="U17" s="1168"/>
    </row>
    <row r="18" spans="2:21" ht="15" customHeight="1">
      <c r="B18" s="1172" t="s">
        <v>569</v>
      </c>
      <c r="C18" s="1209" t="s">
        <v>550</v>
      </c>
      <c r="D18" s="1239"/>
      <c r="E18" s="1239"/>
      <c r="F18" s="1240">
        <f xml:space="preserve"> EXP((-10440.397/F16)+(-11.29465) + (-0.027022355*F16) + (0.00001289036*F16*F16) + (-0.0000000024780681*F16^3)+(6.5459673*LN(F16)))</f>
        <v>0.81624584553883761</v>
      </c>
      <c r="G18" s="1163"/>
      <c r="H18" s="1203"/>
      <c r="I18" s="1204" t="s">
        <v>577</v>
      </c>
      <c r="J18" s="1249">
        <v>1.2062999999999999</v>
      </c>
      <c r="K18" s="1167" t="s">
        <v>420</v>
      </c>
      <c r="L18" s="1168" t="s">
        <v>578</v>
      </c>
      <c r="M18" s="1168"/>
      <c r="N18" s="1220">
        <f>N13/N17</f>
        <v>0.44220524823188273</v>
      </c>
      <c r="O18" s="1168" t="s">
        <v>579</v>
      </c>
      <c r="P18" s="1168"/>
      <c r="Q18" s="1168"/>
      <c r="R18" s="1168"/>
      <c r="S18" s="1168"/>
      <c r="T18" s="1168"/>
      <c r="U18" s="1168"/>
    </row>
    <row r="19" spans="2:21" ht="15" customHeight="1">
      <c r="B19" s="1203" t="s">
        <v>575</v>
      </c>
      <c r="C19" s="1250" t="s">
        <v>557</v>
      </c>
      <c r="D19" s="1249"/>
      <c r="E19" s="1249"/>
      <c r="F19" s="1251">
        <f>0.62198*(F18/(F10-F18))</f>
        <v>3.6688832499079484E-2</v>
      </c>
      <c r="G19" s="1163"/>
      <c r="H19" s="1164" t="s">
        <v>508</v>
      </c>
      <c r="I19" s="1165" t="s">
        <v>580</v>
      </c>
      <c r="J19" s="1233">
        <v>90.12</v>
      </c>
      <c r="K19" s="1167" t="s">
        <v>156</v>
      </c>
      <c r="L19" s="1168" t="s">
        <v>581</v>
      </c>
      <c r="M19" s="1168"/>
      <c r="N19" s="1220">
        <f>N18/(1-(1-N18)*(N15/N6))</f>
        <v>0.45034958714349749</v>
      </c>
      <c r="O19" s="1168" t="s">
        <v>582</v>
      </c>
      <c r="P19" s="1168"/>
      <c r="Q19" s="1168"/>
      <c r="R19" s="1168"/>
      <c r="S19" s="1168"/>
      <c r="T19" s="1168"/>
      <c r="U19" s="1168"/>
    </row>
    <row r="20" spans="2:21" ht="15" customHeight="1">
      <c r="B20" s="1164" t="s">
        <v>420</v>
      </c>
      <c r="C20" s="1232" t="s">
        <v>578</v>
      </c>
      <c r="D20" s="1233"/>
      <c r="E20" s="1233"/>
      <c r="F20" s="1252">
        <f>F17/F19</f>
        <v>0.38489148497206727</v>
      </c>
      <c r="G20" s="1163"/>
      <c r="H20" s="1172" t="s">
        <v>512</v>
      </c>
      <c r="I20" s="1173" t="s">
        <v>583</v>
      </c>
      <c r="J20" s="1239">
        <v>26.141999999999999</v>
      </c>
      <c r="K20" s="1167" t="s">
        <v>55</v>
      </c>
      <c r="L20" s="1168"/>
      <c r="M20" s="1168"/>
      <c r="N20" s="1220">
        <f>LN(N7*0.4897705)</f>
        <v>-1.5419592043534591</v>
      </c>
      <c r="O20" s="1168" t="s">
        <v>584</v>
      </c>
      <c r="P20" s="1168"/>
      <c r="Q20" s="1168"/>
      <c r="R20" s="1168"/>
      <c r="S20" s="1167"/>
      <c r="T20" s="1168"/>
      <c r="U20" s="1168"/>
    </row>
    <row r="21" spans="2:21" ht="15" customHeight="1">
      <c r="B21" s="1172" t="s">
        <v>585</v>
      </c>
      <c r="C21" s="1209" t="s">
        <v>581</v>
      </c>
      <c r="D21" s="1239"/>
      <c r="E21" s="1239"/>
      <c r="F21" s="1240">
        <f>F20/(1-(1-F20)*(F18/F10))</f>
        <v>0.39854667368076052</v>
      </c>
      <c r="G21" s="1163"/>
      <c r="H21" s="1235"/>
      <c r="I21" s="1236" t="s">
        <v>586</v>
      </c>
      <c r="J21" s="1244">
        <v>0.89270000000000005</v>
      </c>
      <c r="K21" s="1167"/>
      <c r="L21" s="1168" t="s">
        <v>587</v>
      </c>
      <c r="M21" s="1168"/>
      <c r="N21" s="1253">
        <f>N19*100</f>
        <v>45.034958714349749</v>
      </c>
      <c r="O21" s="1168" t="s">
        <v>588</v>
      </c>
      <c r="P21" s="1167"/>
      <c r="Q21" s="1167"/>
      <c r="R21" s="1168"/>
      <c r="S21" s="1168"/>
      <c r="T21" s="1168"/>
      <c r="U21" s="1168"/>
    </row>
    <row r="22" spans="2:21" ht="15" customHeight="1">
      <c r="B22" s="1235" t="s">
        <v>55</v>
      </c>
      <c r="C22" s="1216"/>
      <c r="D22" s="1244"/>
      <c r="E22" s="1244" t="s">
        <v>55</v>
      </c>
      <c r="F22" s="1254">
        <f>LN(F12*0.4897705)</f>
        <v>-1.1229703366971147</v>
      </c>
      <c r="G22" s="1163"/>
      <c r="H22" s="1167"/>
      <c r="I22" s="1167"/>
      <c r="J22" s="1168"/>
      <c r="K22" s="1167" t="s">
        <v>589</v>
      </c>
      <c r="L22" s="1168" t="s">
        <v>590</v>
      </c>
      <c r="M22" s="1168"/>
      <c r="N22" s="1255">
        <f>100.45+33.193*N20+2.319*N20^2+0.17074*N20^3+1.2063*(N7*0.4897705)^3</f>
        <v>54.167336273812928</v>
      </c>
      <c r="O22" s="1168" t="s">
        <v>591</v>
      </c>
      <c r="P22" s="1168"/>
      <c r="Q22" s="1168"/>
      <c r="R22" s="1168"/>
      <c r="S22" s="1168"/>
      <c r="T22" s="1168"/>
      <c r="U22" s="1168"/>
    </row>
    <row r="23" spans="2:21" ht="15" customHeight="1">
      <c r="B23" s="1256" t="s">
        <v>592</v>
      </c>
      <c r="C23" s="1247" t="s">
        <v>587</v>
      </c>
      <c r="D23" s="1242"/>
      <c r="E23" s="1242"/>
      <c r="F23" s="1257">
        <f>F21*100</f>
        <v>39.854667368076051</v>
      </c>
      <c r="G23" s="1163"/>
      <c r="H23" s="1167" t="s">
        <v>155</v>
      </c>
      <c r="I23" s="1258" t="s">
        <v>593</v>
      </c>
      <c r="J23" s="1259"/>
      <c r="O23" s="1170" t="s">
        <v>594</v>
      </c>
      <c r="R23" s="1168"/>
      <c r="S23" s="1168"/>
      <c r="T23" s="1167"/>
      <c r="U23" s="1167"/>
    </row>
    <row r="24" spans="2:21" ht="15" customHeight="1">
      <c r="B24" s="1256" t="s">
        <v>589</v>
      </c>
      <c r="C24" s="1209" t="s">
        <v>595</v>
      </c>
      <c r="D24" s="1239"/>
      <c r="E24" s="1239"/>
      <c r="F24" s="1260">
        <f>100.45+33.193*F22+2.319*F22^2+0.17074*F22^3+1.2063*(F12*0.4897705)^3</f>
        <v>65.89938768699129</v>
      </c>
      <c r="G24" s="1163"/>
      <c r="H24" s="1167" t="s">
        <v>536</v>
      </c>
      <c r="I24" s="1261" t="s">
        <v>596</v>
      </c>
      <c r="J24" s="1259"/>
      <c r="K24" s="1167" t="s">
        <v>40</v>
      </c>
      <c r="L24" s="1168" t="s">
        <v>597</v>
      </c>
      <c r="M24" s="1168"/>
      <c r="N24" s="1262">
        <f>N13</f>
        <v>9.2160686097194511E-3</v>
      </c>
      <c r="O24" s="1168" t="s">
        <v>565</v>
      </c>
      <c r="P24" s="1168"/>
      <c r="Q24" s="1168"/>
      <c r="R24" s="1168"/>
      <c r="S24" s="1168"/>
      <c r="T24" s="1168"/>
      <c r="U24" s="1168"/>
    </row>
    <row r="25" spans="2:21" ht="15" customHeight="1">
      <c r="B25" s="1208" t="s">
        <v>40</v>
      </c>
      <c r="C25" s="1209" t="s">
        <v>597</v>
      </c>
      <c r="D25" s="1239"/>
      <c r="E25" s="1239"/>
      <c r="F25" s="1263">
        <f>F17</f>
        <v>1.4121219222462143E-2</v>
      </c>
      <c r="G25" s="1163"/>
      <c r="H25" s="1167"/>
      <c r="I25" s="1261" t="s">
        <v>598</v>
      </c>
      <c r="J25" s="1259"/>
      <c r="O25" s="1170" t="s">
        <v>599</v>
      </c>
      <c r="P25" s="1168"/>
      <c r="Q25" s="1168"/>
      <c r="R25" s="1168"/>
      <c r="S25" s="1168"/>
      <c r="T25" s="1168"/>
      <c r="U25" s="1168"/>
    </row>
    <row r="26" spans="2:21" ht="15" customHeight="1">
      <c r="B26" s="1208"/>
      <c r="C26" s="1209" t="s">
        <v>600</v>
      </c>
      <c r="D26" s="1239"/>
      <c r="E26" s="1239"/>
      <c r="F26" s="1264">
        <f xml:space="preserve"> 7000*F25</f>
        <v>98.848534557234998</v>
      </c>
      <c r="H26" s="1167"/>
      <c r="I26" s="1261" t="s">
        <v>601</v>
      </c>
      <c r="J26" s="1259"/>
      <c r="K26" s="1167"/>
      <c r="L26" s="1168" t="s">
        <v>600</v>
      </c>
      <c r="M26" s="1168"/>
      <c r="N26" s="1253">
        <f xml:space="preserve"> 7000*N24</f>
        <v>64.512480268036157</v>
      </c>
      <c r="O26" s="1168" t="s">
        <v>602</v>
      </c>
      <c r="P26" s="1168"/>
      <c r="Q26" s="1168"/>
      <c r="R26" s="1168"/>
      <c r="S26" s="1168"/>
      <c r="T26" s="1168"/>
      <c r="U26" s="1168"/>
    </row>
    <row r="27" spans="2:21" ht="15" customHeight="1">
      <c r="B27" s="1208" t="s">
        <v>41</v>
      </c>
      <c r="C27" s="1209" t="s">
        <v>603</v>
      </c>
      <c r="D27" s="1239"/>
      <c r="E27" s="1239"/>
      <c r="F27" s="1264">
        <f>0.24*F8 +F17*(1061 + 0.444*F8)</f>
        <v>38.378246621835785</v>
      </c>
      <c r="H27" s="1167" t="s">
        <v>40</v>
      </c>
      <c r="I27" s="1261" t="s">
        <v>604</v>
      </c>
      <c r="J27" s="1259"/>
      <c r="K27" s="1167" t="s">
        <v>41</v>
      </c>
      <c r="L27" s="1168" t="s">
        <v>605</v>
      </c>
      <c r="M27" s="1168"/>
      <c r="N27" s="1253">
        <f>0.24*N1 +N13*(1061 + 0.444*N1)</f>
        <v>28.81741968300414</v>
      </c>
      <c r="O27" s="1168" t="s">
        <v>606</v>
      </c>
      <c r="P27" s="1168"/>
      <c r="Q27" s="1168"/>
      <c r="R27" s="1168"/>
      <c r="S27" s="1168"/>
      <c r="T27" s="1168"/>
      <c r="U27" s="1168"/>
    </row>
    <row r="28" spans="2:21" ht="15" customHeight="1">
      <c r="B28" s="1215" t="s">
        <v>38</v>
      </c>
      <c r="C28" s="1216" t="s">
        <v>607</v>
      </c>
      <c r="D28" s="1244"/>
      <c r="E28" s="1244"/>
      <c r="F28" s="1265">
        <f>0.7543*(F16*(1+1.6078*F25))/F4</f>
        <v>14.301025832736311</v>
      </c>
      <c r="H28" s="1167"/>
      <c r="I28" s="1261" t="s">
        <v>608</v>
      </c>
      <c r="J28" s="1259"/>
      <c r="K28" s="1167" t="s">
        <v>38</v>
      </c>
      <c r="L28" s="1168" t="s">
        <v>609</v>
      </c>
      <c r="M28" s="1168"/>
      <c r="N28" s="1266">
        <f>0.7543*(N12*(1+1.6078*N24))/N4</f>
        <v>13.75581454781892</v>
      </c>
      <c r="O28" s="1168" t="s">
        <v>610</v>
      </c>
      <c r="P28" s="1168"/>
      <c r="Q28" s="1168"/>
      <c r="R28" s="1168"/>
      <c r="S28" s="1168"/>
      <c r="T28" s="1168"/>
      <c r="U28" s="1168"/>
    </row>
    <row r="29" spans="2:21" ht="15" customHeight="1">
      <c r="H29" s="1167" t="s">
        <v>420</v>
      </c>
      <c r="I29" s="1261" t="s">
        <v>611</v>
      </c>
      <c r="J29" s="1259"/>
      <c r="K29" s="1168" t="s">
        <v>510</v>
      </c>
      <c r="L29" s="1168" t="s">
        <v>612</v>
      </c>
      <c r="N29" s="1168"/>
      <c r="O29" s="1267"/>
      <c r="P29" s="1168"/>
      <c r="Q29" s="1168"/>
      <c r="R29" s="1168"/>
      <c r="S29" s="1168"/>
      <c r="T29" s="1168"/>
      <c r="U29" s="1168"/>
    </row>
    <row r="30" spans="2:21" ht="15" customHeight="1">
      <c r="B30" s="1168" t="s">
        <v>613</v>
      </c>
      <c r="C30" s="1168" t="s">
        <v>614</v>
      </c>
      <c r="E30" s="1160"/>
      <c r="H30" s="1167"/>
      <c r="I30" s="1261" t="s">
        <v>615</v>
      </c>
      <c r="J30" s="1168"/>
      <c r="K30" s="1167" t="s">
        <v>589</v>
      </c>
      <c r="L30" s="1168" t="s">
        <v>616</v>
      </c>
      <c r="M30" s="1168"/>
      <c r="N30" s="1168"/>
      <c r="O30" s="1267"/>
      <c r="P30" s="1168"/>
      <c r="Q30" s="1168"/>
      <c r="R30" s="1168"/>
      <c r="S30" s="1168"/>
      <c r="T30" s="1168"/>
      <c r="U30" s="1168"/>
    </row>
    <row r="31" spans="2:21" ht="15" customHeight="1">
      <c r="B31" s="1168" t="s">
        <v>575</v>
      </c>
      <c r="C31" s="1168" t="s">
        <v>617</v>
      </c>
      <c r="E31" s="1160"/>
      <c r="J31" s="1168"/>
      <c r="K31" s="1167"/>
      <c r="L31" s="1168" t="s">
        <v>605</v>
      </c>
      <c r="M31" s="1168"/>
      <c r="N31" s="1168"/>
      <c r="O31" s="1267"/>
      <c r="P31" s="1168"/>
      <c r="Q31" s="1168"/>
      <c r="R31" s="1168"/>
      <c r="S31" s="1168"/>
      <c r="T31" s="1168"/>
      <c r="U31" s="1168"/>
    </row>
    <row r="32" spans="2:21" ht="15" customHeight="1">
      <c r="B32" s="1168" t="s">
        <v>618</v>
      </c>
      <c r="C32" s="1168" t="s">
        <v>612</v>
      </c>
      <c r="E32" s="1160"/>
      <c r="J32" s="1259"/>
      <c r="K32" s="1167"/>
      <c r="L32" s="1168" t="s">
        <v>609</v>
      </c>
      <c r="M32" s="1168"/>
      <c r="N32" s="1168"/>
      <c r="O32" s="1267"/>
      <c r="P32" s="1168"/>
      <c r="Q32" s="1168"/>
      <c r="R32" s="1168"/>
      <c r="S32" s="1168"/>
      <c r="T32" s="1168"/>
      <c r="U32" s="1168"/>
    </row>
    <row r="33" spans="2:21" ht="15" customHeight="1">
      <c r="B33" s="1168" t="s">
        <v>619</v>
      </c>
      <c r="C33" s="1168" t="s">
        <v>614</v>
      </c>
      <c r="E33" s="1160"/>
      <c r="J33" s="1259"/>
      <c r="M33" s="1168"/>
      <c r="N33" s="1168"/>
      <c r="O33" s="1267"/>
      <c r="P33" s="1168"/>
      <c r="Q33" s="1168"/>
      <c r="R33" s="1168"/>
      <c r="S33" s="1168"/>
      <c r="T33" s="1168"/>
      <c r="U33" s="1168"/>
    </row>
    <row r="34" spans="2:21" ht="15" customHeight="1">
      <c r="B34" s="1168" t="s">
        <v>620</v>
      </c>
      <c r="C34" s="1168" t="s">
        <v>617</v>
      </c>
      <c r="E34" s="1160"/>
      <c r="J34" s="1168"/>
      <c r="M34" s="1168"/>
      <c r="N34" s="1168"/>
      <c r="O34" s="1267"/>
      <c r="P34" s="1168"/>
      <c r="Q34" s="1168"/>
      <c r="R34" s="1168"/>
      <c r="S34" s="1168"/>
      <c r="T34" s="1168"/>
      <c r="U34" s="1168"/>
    </row>
  </sheetData>
  <pageMargins left="0.5" right="0.45" top="0.75" bottom="0.75" header="0.3" footer="0.3"/>
  <pageSetup scale="95" orientation="landscape" r:id="rId1"/>
  <headerFooter>
    <oddHeader>&amp;L&amp;10Energy Efficient Building Design&amp;C&amp;10College of Architecture&amp;R&amp;10Illinois Institute Of Technology (IIT), Chicago</oddHeader>
    <oddFooter>&amp;L&amp;10Varkie C. Thomas, Ph.D., P.E.&amp;C&amp;10Skidmore, Owings &amp; Merrill, LLP&amp;R&amp;10&amp;A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Hi-Rise-Multiuse</vt:lpstr>
      <vt:lpstr>Input-Output</vt:lpstr>
      <vt:lpstr>SMMR-Calcs</vt:lpstr>
      <vt:lpstr>WNTR-Calcs</vt:lpstr>
      <vt:lpstr>HRB-Apt-Pressurization  Vnt-Exh</vt:lpstr>
      <vt:lpstr>Bldg-Stck-Eff-Theory</vt:lpstr>
      <vt:lpstr>Ref-Psychro-EQNs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cp:lastPrinted>2012-05-02T22:44:19Z</cp:lastPrinted>
  <dcterms:created xsi:type="dcterms:W3CDTF">2011-12-23T16:32:36Z</dcterms:created>
  <dcterms:modified xsi:type="dcterms:W3CDTF">2012-05-02T22:44:22Z</dcterms:modified>
</cp:coreProperties>
</file>